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filterPrivacy="1" updateLinks="never" codeName="ЭтаКнига" defaultThemeVersion="124226"/>
  <xr:revisionPtr revIDLastSave="0" documentId="13_ncr:1_{30F1DF22-2A84-6B4A-BF23-13E152BB0921}" xr6:coauthVersionLast="47" xr6:coauthVersionMax="47" xr10:uidLastSave="{00000000-0000-0000-0000-000000000000}"/>
  <bookViews>
    <workbookView xWindow="0" yWindow="0" windowWidth="28800" windowHeight="18000" tabRatio="829" xr2:uid="{00000000-000D-0000-FFFF-FFFF00000000}"/>
  </bookViews>
  <sheets>
    <sheet name="Правила и справки" sheetId="6" r:id="rId1"/>
    <sheet name="ЗП по стандарту АКФО" sheetId="15" r:id="rId2"/>
    <sheet name="Калькуляция" sheetId="16" r:id="rId3"/>
    <sheet name="Расчет ФОТ" sheetId="17" r:id="rId4"/>
    <sheet name="Тарификатор" sheetId="19" r:id="rId5"/>
    <sheet name="Приложение к договору" sheetId="20" r:id="rId6"/>
  </sheets>
  <externalReferences>
    <externalReference r:id="rId7"/>
  </externalReferences>
  <definedNames>
    <definedName name="_xlnm.Print_Area" localSheetId="2">Калькуляция!$B$9:$J$71</definedName>
    <definedName name="сумм_аммортиз" localSheetId="2">Калькуляция!$E$74:$E$86</definedName>
    <definedName name="сумм_амморти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15" l="1"/>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53" i="15"/>
  <c r="D4" i="15"/>
  <c r="D5"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3" i="15"/>
  <c r="B6" i="6" l="1"/>
  <c r="AD10" i="17" l="1"/>
  <c r="AD11" i="17"/>
  <c r="AD12" i="17"/>
  <c r="AD13" i="17"/>
  <c r="AD14" i="17"/>
  <c r="AD15" i="17"/>
  <c r="AD16" i="17"/>
  <c r="AD17" i="17"/>
  <c r="AD18" i="17"/>
  <c r="AD19" i="17"/>
  <c r="AD20" i="17"/>
  <c r="AD21" i="17"/>
  <c r="AD22" i="17"/>
  <c r="AD23" i="17"/>
  <c r="AD24" i="17"/>
  <c r="AD25" i="17"/>
  <c r="AD26" i="17"/>
  <c r="AD27" i="17"/>
  <c r="AD28" i="17"/>
  <c r="AD29" i="17"/>
  <c r="AD30" i="17"/>
  <c r="AD31" i="17"/>
  <c r="AD32" i="17"/>
  <c r="AD33" i="17"/>
  <c r="AD34" i="17"/>
  <c r="AD35" i="17"/>
  <c r="AD36" i="17"/>
  <c r="AD37" i="17"/>
  <c r="AD38" i="17"/>
  <c r="AD39" i="17"/>
  <c r="AD40" i="17"/>
  <c r="AD41" i="17"/>
  <c r="AD42" i="17"/>
  <c r="AD43" i="17"/>
  <c r="AD9" i="17"/>
  <c r="H32" i="16" l="1"/>
  <c r="G32" i="16" s="1"/>
  <c r="H33" i="16"/>
  <c r="G33" i="16" s="1"/>
  <c r="H34" i="16"/>
  <c r="G34" i="16" s="1"/>
  <c r="H35" i="16"/>
  <c r="G35" i="16" s="1"/>
  <c r="H23" i="16"/>
  <c r="G23" i="16" s="1"/>
  <c r="H24" i="16"/>
  <c r="G24" i="16" s="1"/>
  <c r="H25" i="16"/>
  <c r="G25" i="16" s="1"/>
  <c r="H26" i="16"/>
  <c r="G26" i="16" s="1"/>
  <c r="H27" i="16"/>
  <c r="G27" i="16" s="1"/>
  <c r="L20" i="17"/>
  <c r="Q20" i="17" s="1"/>
  <c r="N20" i="17"/>
  <c r="O20" i="17" s="1"/>
  <c r="P20" i="17" s="1"/>
  <c r="B91" i="20"/>
  <c r="C91" i="20"/>
  <c r="E91" i="20"/>
  <c r="B92" i="20"/>
  <c r="C92" i="20"/>
  <c r="E92" i="20"/>
  <c r="B93" i="20"/>
  <c r="C93" i="20"/>
  <c r="E93" i="20"/>
  <c r="B94" i="20"/>
  <c r="C94" i="20"/>
  <c r="E94" i="20"/>
  <c r="B95" i="20"/>
  <c r="C95" i="20"/>
  <c r="E95" i="20"/>
  <c r="B96" i="20"/>
  <c r="C96" i="20"/>
  <c r="E96" i="20"/>
  <c r="B97" i="20"/>
  <c r="C97" i="20"/>
  <c r="E97" i="20"/>
  <c r="B98" i="20"/>
  <c r="C98" i="20"/>
  <c r="E98" i="20"/>
  <c r="B99" i="20"/>
  <c r="C99" i="20"/>
  <c r="E99" i="20"/>
  <c r="B100" i="20"/>
  <c r="C100" i="20"/>
  <c r="E100" i="20"/>
  <c r="B101" i="20"/>
  <c r="C101" i="20"/>
  <c r="E101" i="20"/>
  <c r="B102" i="20"/>
  <c r="C102" i="20"/>
  <c r="E102" i="20"/>
  <c r="B103" i="20"/>
  <c r="C103" i="20"/>
  <c r="E103" i="20"/>
  <c r="B104" i="20"/>
  <c r="C104" i="20"/>
  <c r="E104" i="20"/>
  <c r="B105" i="20"/>
  <c r="C105" i="20"/>
  <c r="E105" i="20"/>
  <c r="M20" i="17" l="1"/>
  <c r="A20" i="19"/>
  <c r="B20" i="19"/>
  <c r="B26" i="20" s="1"/>
  <c r="A21" i="19"/>
  <c r="B21" i="19"/>
  <c r="B27" i="20" s="1"/>
  <c r="A22" i="19"/>
  <c r="B22" i="19"/>
  <c r="B28" i="20" s="1"/>
  <c r="A23" i="19"/>
  <c r="B23" i="19"/>
  <c r="B29" i="20" s="1"/>
  <c r="A24" i="19"/>
  <c r="B24" i="19"/>
  <c r="B30" i="20" s="1"/>
  <c r="A25" i="19"/>
  <c r="B25" i="19"/>
  <c r="B31" i="20" s="1"/>
  <c r="A26" i="19"/>
  <c r="B26" i="19"/>
  <c r="B32" i="20" s="1"/>
  <c r="A27" i="19"/>
  <c r="B27" i="19"/>
  <c r="B33" i="20" s="1"/>
  <c r="A28" i="19"/>
  <c r="B28" i="19"/>
  <c r="B34" i="20" s="1"/>
  <c r="A29" i="19"/>
  <c r="B29" i="19"/>
  <c r="B35" i="20" s="1"/>
  <c r="A30" i="19"/>
  <c r="B30" i="19"/>
  <c r="B36" i="20" s="1"/>
  <c r="A31" i="19"/>
  <c r="B31" i="19"/>
  <c r="B37" i="20" s="1"/>
  <c r="A32" i="19"/>
  <c r="B32" i="19"/>
  <c r="B38" i="20" s="1"/>
  <c r="A33" i="19"/>
  <c r="B33" i="19"/>
  <c r="B39" i="20" s="1"/>
  <c r="A34" i="19"/>
  <c r="B34" i="19"/>
  <c r="B40" i="20" s="1"/>
  <c r="J26" i="17"/>
  <c r="L26" i="17"/>
  <c r="N26" i="17"/>
  <c r="O26" i="17" s="1"/>
  <c r="P26" i="17" s="1"/>
  <c r="J27" i="17"/>
  <c r="L27" i="17"/>
  <c r="N27" i="17"/>
  <c r="O27" i="17" s="1"/>
  <c r="P27" i="17" s="1"/>
  <c r="J28" i="17"/>
  <c r="L28" i="17"/>
  <c r="N28" i="17"/>
  <c r="O28" i="17" s="1"/>
  <c r="P28" i="17" s="1"/>
  <c r="J29" i="17"/>
  <c r="L29" i="17"/>
  <c r="N29" i="17"/>
  <c r="O29" i="17" s="1"/>
  <c r="P29" i="17" s="1"/>
  <c r="J30" i="17"/>
  <c r="L30" i="17"/>
  <c r="M30" i="17"/>
  <c r="G95" i="20" s="1"/>
  <c r="N30" i="17"/>
  <c r="O30" i="17" s="1"/>
  <c r="P30" i="17" s="1"/>
  <c r="J31" i="17"/>
  <c r="L31" i="17"/>
  <c r="N31" i="17"/>
  <c r="O31" i="17" s="1"/>
  <c r="P31" i="17" s="1"/>
  <c r="J32" i="17"/>
  <c r="L32" i="17"/>
  <c r="N32" i="17"/>
  <c r="O32" i="17" s="1"/>
  <c r="P32" i="17" s="1"/>
  <c r="J33" i="17"/>
  <c r="L33" i="17"/>
  <c r="N33" i="17"/>
  <c r="O33" i="17" s="1"/>
  <c r="P33" i="17" s="1"/>
  <c r="J34" i="17"/>
  <c r="L34" i="17"/>
  <c r="N34" i="17"/>
  <c r="O34" i="17" s="1"/>
  <c r="P34" i="17" s="1"/>
  <c r="J35" i="17"/>
  <c r="L35" i="17"/>
  <c r="N35" i="17"/>
  <c r="O35" i="17" s="1"/>
  <c r="P35" i="17" s="1"/>
  <c r="J36" i="17"/>
  <c r="L36" i="17"/>
  <c r="N36" i="17"/>
  <c r="O36" i="17" s="1"/>
  <c r="P36" i="17" s="1"/>
  <c r="J37" i="17"/>
  <c r="L37" i="17"/>
  <c r="N37" i="17"/>
  <c r="O37" i="17" s="1"/>
  <c r="P37" i="17" s="1"/>
  <c r="J38" i="17"/>
  <c r="L38" i="17"/>
  <c r="M38" i="17"/>
  <c r="G103" i="20" s="1"/>
  <c r="N38" i="17"/>
  <c r="O38" i="17" s="1"/>
  <c r="P38" i="17" s="1"/>
  <c r="J39" i="17"/>
  <c r="L39" i="17"/>
  <c r="N39" i="17"/>
  <c r="O39" i="17" s="1"/>
  <c r="P39" i="17" s="1"/>
  <c r="J40" i="17"/>
  <c r="L40" i="17"/>
  <c r="N40" i="17"/>
  <c r="O40" i="17" s="1"/>
  <c r="P40" i="17" s="1"/>
  <c r="E31" i="19" l="1"/>
  <c r="F31" i="19" s="1"/>
  <c r="H31" i="19" s="1"/>
  <c r="D102" i="20"/>
  <c r="E28" i="19"/>
  <c r="G28" i="19" s="1"/>
  <c r="I28" i="19" s="1"/>
  <c r="D99" i="20"/>
  <c r="M26" i="17"/>
  <c r="G91" i="20" s="1"/>
  <c r="F91" i="20"/>
  <c r="Q32" i="17"/>
  <c r="F97" i="20"/>
  <c r="Q29" i="17"/>
  <c r="F94" i="20"/>
  <c r="E20" i="19"/>
  <c r="G20" i="19" s="1"/>
  <c r="I20" i="19" s="1"/>
  <c r="D91" i="20"/>
  <c r="Q38" i="17"/>
  <c r="F103" i="20"/>
  <c r="Q35" i="17"/>
  <c r="V35" i="17" s="1"/>
  <c r="F100" i="20"/>
  <c r="E26" i="19"/>
  <c r="F26" i="19" s="1"/>
  <c r="H26" i="19" s="1"/>
  <c r="D97" i="20"/>
  <c r="E23" i="19"/>
  <c r="F23" i="19" s="1"/>
  <c r="H23" i="19" s="1"/>
  <c r="D94" i="20"/>
  <c r="E32" i="19"/>
  <c r="F32" i="19" s="1"/>
  <c r="H32" i="19" s="1"/>
  <c r="D103" i="20"/>
  <c r="E29" i="19"/>
  <c r="F29" i="19" s="1"/>
  <c r="H29" i="19" s="1"/>
  <c r="D100" i="20"/>
  <c r="Q27" i="17"/>
  <c r="F92" i="20"/>
  <c r="Q39" i="17"/>
  <c r="F104" i="20"/>
  <c r="Q36" i="17"/>
  <c r="F101" i="20"/>
  <c r="Q33" i="17"/>
  <c r="F98" i="20"/>
  <c r="Q30" i="17"/>
  <c r="F95" i="20"/>
  <c r="E21" i="19"/>
  <c r="F21" i="19" s="1"/>
  <c r="H21" i="19" s="1"/>
  <c r="D92" i="20"/>
  <c r="E33" i="19"/>
  <c r="G33" i="19" s="1"/>
  <c r="I33" i="19" s="1"/>
  <c r="D104" i="20"/>
  <c r="E30" i="19"/>
  <c r="G30" i="19" s="1"/>
  <c r="I30" i="19" s="1"/>
  <c r="D101" i="20"/>
  <c r="E27" i="19"/>
  <c r="F27" i="19" s="1"/>
  <c r="H27" i="19" s="1"/>
  <c r="D98" i="20"/>
  <c r="E24" i="19"/>
  <c r="F24" i="19" s="1"/>
  <c r="H24" i="19" s="1"/>
  <c r="D95" i="20"/>
  <c r="Q31" i="17"/>
  <c r="F96" i="20"/>
  <c r="Q28" i="17"/>
  <c r="F93" i="20"/>
  <c r="Q37" i="17"/>
  <c r="F102" i="20"/>
  <c r="Q34" i="17"/>
  <c r="F99" i="20"/>
  <c r="E25" i="19"/>
  <c r="G25" i="19" s="1"/>
  <c r="I25" i="19" s="1"/>
  <c r="D96" i="20"/>
  <c r="E22" i="19"/>
  <c r="G22" i="19" s="1"/>
  <c r="I22" i="19" s="1"/>
  <c r="D93" i="20"/>
  <c r="E34" i="19"/>
  <c r="D105" i="20"/>
  <c r="Q40" i="17"/>
  <c r="F105" i="20"/>
  <c r="Q26" i="17"/>
  <c r="R38" i="17"/>
  <c r="M34" i="17"/>
  <c r="G99" i="20" s="1"/>
  <c r="R26" i="17"/>
  <c r="M39" i="17"/>
  <c r="G104" i="20" s="1"/>
  <c r="M40" i="17"/>
  <c r="G105" i="20" s="1"/>
  <c r="M31" i="17"/>
  <c r="G96" i="20" s="1"/>
  <c r="R34" i="17"/>
  <c r="R39" i="17"/>
  <c r="M33" i="17"/>
  <c r="G98" i="20" s="1"/>
  <c r="M32" i="17"/>
  <c r="G97" i="20" s="1"/>
  <c r="M29" i="17"/>
  <c r="G94" i="20" s="1"/>
  <c r="M28" i="17"/>
  <c r="G93" i="20" s="1"/>
  <c r="R33" i="17"/>
  <c r="R30" i="17"/>
  <c r="M37" i="17"/>
  <c r="G102" i="20" s="1"/>
  <c r="M36" i="17"/>
  <c r="G101" i="20" s="1"/>
  <c r="M27" i="17"/>
  <c r="G92" i="20" s="1"/>
  <c r="M35" i="17"/>
  <c r="G100" i="20" s="1"/>
  <c r="R29" i="17"/>
  <c r="R40" i="17"/>
  <c r="R36" i="17"/>
  <c r="R32" i="17"/>
  <c r="R28" i="17"/>
  <c r="V28" i="17" s="1"/>
  <c r="R37" i="17"/>
  <c r="R35" i="17"/>
  <c r="R31" i="17"/>
  <c r="R27" i="17"/>
  <c r="E3" i="20"/>
  <c r="B3" i="20"/>
  <c r="E2" i="20"/>
  <c r="B2" i="20"/>
  <c r="V31" i="17" l="1"/>
  <c r="V30" i="17"/>
  <c r="V34" i="17"/>
  <c r="V26" i="17"/>
  <c r="V33" i="17"/>
  <c r="V40" i="17"/>
  <c r="V29" i="17"/>
  <c r="V32" i="17"/>
  <c r="V36" i="17"/>
  <c r="V39" i="17"/>
  <c r="V37" i="17"/>
  <c r="V27" i="17"/>
  <c r="V38" i="17"/>
  <c r="G31" i="19"/>
  <c r="I31" i="19" s="1"/>
  <c r="T30" i="17"/>
  <c r="W30" i="17" s="1"/>
  <c r="G27" i="19"/>
  <c r="I27" i="19" s="1"/>
  <c r="G29" i="19"/>
  <c r="I29" i="19" s="1"/>
  <c r="G26" i="19"/>
  <c r="I26" i="19" s="1"/>
  <c r="G21" i="19"/>
  <c r="I21" i="19" s="1"/>
  <c r="T34" i="17"/>
  <c r="U34" i="17" s="1"/>
  <c r="G23" i="19"/>
  <c r="I23" i="19" s="1"/>
  <c r="T38" i="17"/>
  <c r="U38" i="17" s="1"/>
  <c r="F25" i="19"/>
  <c r="H25" i="19" s="1"/>
  <c r="G32" i="19"/>
  <c r="I32" i="19" s="1"/>
  <c r="F28" i="19"/>
  <c r="H28" i="19" s="1"/>
  <c r="F30" i="19"/>
  <c r="H30" i="19" s="1"/>
  <c r="F33" i="19"/>
  <c r="H33" i="19" s="1"/>
  <c r="T26" i="17"/>
  <c r="U26" i="17" s="1"/>
  <c r="G24" i="19"/>
  <c r="I24" i="19" s="1"/>
  <c r="F20" i="19"/>
  <c r="H20" i="19" s="1"/>
  <c r="F22" i="19"/>
  <c r="H22" i="19" s="1"/>
  <c r="T31" i="17"/>
  <c r="U31" i="17" s="1"/>
  <c r="T33" i="17"/>
  <c r="T27" i="17"/>
  <c r="T39" i="17"/>
  <c r="U39" i="17" s="1"/>
  <c r="T32" i="17"/>
  <c r="T28" i="17"/>
  <c r="W28" i="17" s="1"/>
  <c r="T35" i="17"/>
  <c r="T37" i="17"/>
  <c r="W37" i="17" s="1"/>
  <c r="T40" i="17"/>
  <c r="U40" i="17" s="1"/>
  <c r="T36" i="17"/>
  <c r="W36" i="17" s="1"/>
  <c r="T29" i="17"/>
  <c r="U29" i="17" s="1"/>
  <c r="C75" i="20"/>
  <c r="E75" i="20"/>
  <c r="C76" i="20"/>
  <c r="E76" i="20"/>
  <c r="C77" i="20"/>
  <c r="E77" i="20"/>
  <c r="C78" i="20"/>
  <c r="E78" i="20"/>
  <c r="C79" i="20"/>
  <c r="E79" i="20"/>
  <c r="C80" i="20"/>
  <c r="E80" i="20"/>
  <c r="C81" i="20"/>
  <c r="E81" i="20"/>
  <c r="C82" i="20"/>
  <c r="E82" i="20"/>
  <c r="C83" i="20"/>
  <c r="E83" i="20"/>
  <c r="C84" i="20"/>
  <c r="E84" i="20"/>
  <c r="C85" i="20"/>
  <c r="E85" i="20"/>
  <c r="C86" i="20"/>
  <c r="E86" i="20"/>
  <c r="C87" i="20"/>
  <c r="E87" i="20"/>
  <c r="C88" i="20"/>
  <c r="E88" i="20"/>
  <c r="C89" i="20"/>
  <c r="E89" i="20"/>
  <c r="C90" i="20"/>
  <c r="E90" i="20"/>
  <c r="C106" i="20"/>
  <c r="E106" i="20"/>
  <c r="C107" i="20"/>
  <c r="E107" i="20"/>
  <c r="C108" i="20"/>
  <c r="E108" i="20"/>
  <c r="E74" i="20"/>
  <c r="C74" i="20"/>
  <c r="B108" i="20"/>
  <c r="B106" i="20"/>
  <c r="B107" i="20"/>
  <c r="B75" i="20"/>
  <c r="B76" i="20"/>
  <c r="B77" i="20"/>
  <c r="B78" i="20"/>
  <c r="B79" i="20"/>
  <c r="B80" i="20"/>
  <c r="B81" i="20"/>
  <c r="B82" i="20"/>
  <c r="B83" i="20"/>
  <c r="B84" i="20"/>
  <c r="B85" i="20"/>
  <c r="B86" i="20"/>
  <c r="B87" i="20"/>
  <c r="B88" i="20"/>
  <c r="B89" i="20"/>
  <c r="B90" i="20"/>
  <c r="B74" i="20"/>
  <c r="D59" i="20"/>
  <c r="D57" i="20"/>
  <c r="W33" i="17" l="1"/>
  <c r="H98" i="20" s="1"/>
  <c r="U30" i="17"/>
  <c r="W27" i="17"/>
  <c r="I92" i="20" s="1"/>
  <c r="W34" i="17"/>
  <c r="I99" i="20" s="1"/>
  <c r="W38" i="17"/>
  <c r="I103" i="20" s="1"/>
  <c r="W31" i="17"/>
  <c r="I96" i="20" s="1"/>
  <c r="W39" i="17"/>
  <c r="H104" i="20" s="1"/>
  <c r="W26" i="17"/>
  <c r="I91" i="20" s="1"/>
  <c r="X33" i="17"/>
  <c r="H101" i="20"/>
  <c r="I101" i="20"/>
  <c r="Y38" i="17"/>
  <c r="H93" i="20"/>
  <c r="I93" i="20"/>
  <c r="U33" i="17"/>
  <c r="H95" i="20"/>
  <c r="I95" i="20"/>
  <c r="H102" i="20"/>
  <c r="I102" i="20"/>
  <c r="U27" i="17"/>
  <c r="X38" i="17"/>
  <c r="Y33" i="17"/>
  <c r="Y30" i="17"/>
  <c r="X30" i="17"/>
  <c r="W32" i="17"/>
  <c r="X31" i="17"/>
  <c r="Y31" i="17"/>
  <c r="X27" i="17"/>
  <c r="Y27" i="17"/>
  <c r="X26" i="17"/>
  <c r="Y26" i="17"/>
  <c r="X37" i="17"/>
  <c r="Y37" i="17"/>
  <c r="X34" i="17"/>
  <c r="Y34" i="17"/>
  <c r="U32" i="17"/>
  <c r="X39" i="17"/>
  <c r="Y39" i="17"/>
  <c r="X36" i="17"/>
  <c r="Y36" i="17"/>
  <c r="X28" i="17"/>
  <c r="Y28" i="17"/>
  <c r="W29" i="17"/>
  <c r="U36" i="17"/>
  <c r="U28" i="17"/>
  <c r="W40" i="17"/>
  <c r="U35" i="17"/>
  <c r="W35" i="17"/>
  <c r="U37" i="17"/>
  <c r="N12" i="17"/>
  <c r="N13" i="17"/>
  <c r="N14" i="17"/>
  <c r="N15" i="17"/>
  <c r="N16" i="17"/>
  <c r="N17" i="17"/>
  <c r="N18" i="17"/>
  <c r="N19" i="17"/>
  <c r="N21" i="17"/>
  <c r="N22" i="17"/>
  <c r="N23" i="17"/>
  <c r="N24" i="17"/>
  <c r="N25" i="17"/>
  <c r="N41" i="17"/>
  <c r="I98" i="20" l="1"/>
  <c r="AA34" i="17"/>
  <c r="Z34" i="17"/>
  <c r="AA37" i="17"/>
  <c r="Z37" i="17"/>
  <c r="AA38" i="17"/>
  <c r="Z38" i="17"/>
  <c r="AA26" i="17"/>
  <c r="Z26" i="17"/>
  <c r="H92" i="20"/>
  <c r="AA36" i="17"/>
  <c r="Z36" i="17"/>
  <c r="H99" i="20"/>
  <c r="AA28" i="17"/>
  <c r="Z28" i="17"/>
  <c r="AA27" i="17"/>
  <c r="Z27" i="17"/>
  <c r="AA31" i="17"/>
  <c r="Z31" i="17"/>
  <c r="AA39" i="17"/>
  <c r="Z39" i="17"/>
  <c r="AA30" i="17"/>
  <c r="Z30" i="17"/>
  <c r="AA33" i="17"/>
  <c r="Z33" i="17"/>
  <c r="C30" i="20"/>
  <c r="H96" i="20"/>
  <c r="H103" i="20"/>
  <c r="I104" i="20"/>
  <c r="H91" i="20"/>
  <c r="C27" i="19"/>
  <c r="D27" i="19" s="1"/>
  <c r="F33" i="20" s="1"/>
  <c r="C33" i="20"/>
  <c r="C21" i="19"/>
  <c r="D21" i="19" s="1"/>
  <c r="F27" i="20" s="1"/>
  <c r="C27" i="20"/>
  <c r="H94" i="20"/>
  <c r="I94" i="20"/>
  <c r="C33" i="19"/>
  <c r="E39" i="20" s="1"/>
  <c r="D39" i="20" s="1"/>
  <c r="C39" i="20"/>
  <c r="C22" i="19"/>
  <c r="D22" i="19" s="1"/>
  <c r="F28" i="20" s="1"/>
  <c r="C28" i="20"/>
  <c r="C28" i="19"/>
  <c r="E34" i="20" s="1"/>
  <c r="D34" i="20" s="1"/>
  <c r="C34" i="20"/>
  <c r="C25" i="19"/>
  <c r="E31" i="20" s="1"/>
  <c r="D31" i="20" s="1"/>
  <c r="C31" i="20"/>
  <c r="C20" i="19"/>
  <c r="E26" i="20" s="1"/>
  <c r="D26" i="20" s="1"/>
  <c r="C26" i="20"/>
  <c r="C32" i="19"/>
  <c r="C38" i="20"/>
  <c r="I100" i="20"/>
  <c r="H100" i="20"/>
  <c r="C30" i="19"/>
  <c r="E36" i="20" s="1"/>
  <c r="D36" i="20" s="1"/>
  <c r="C36" i="20"/>
  <c r="C31" i="19"/>
  <c r="D31" i="19" s="1"/>
  <c r="F37" i="20" s="1"/>
  <c r="C37" i="20"/>
  <c r="Y32" i="17"/>
  <c r="I97" i="20"/>
  <c r="H97" i="20"/>
  <c r="H105" i="20"/>
  <c r="I105" i="20"/>
  <c r="C24" i="19"/>
  <c r="X32" i="17"/>
  <c r="X40" i="17"/>
  <c r="Y40" i="17"/>
  <c r="X29" i="17"/>
  <c r="Y29" i="17"/>
  <c r="X35" i="17"/>
  <c r="Y35" i="17"/>
  <c r="AA40" i="17" l="1"/>
  <c r="Z40" i="17"/>
  <c r="AA35" i="17"/>
  <c r="Z35" i="17"/>
  <c r="AA32" i="17"/>
  <c r="Z32" i="17"/>
  <c r="AA29" i="17"/>
  <c r="Z29" i="17"/>
  <c r="E28" i="20"/>
  <c r="D28" i="20" s="1"/>
  <c r="E33" i="20"/>
  <c r="D33" i="20" s="1"/>
  <c r="E37" i="20"/>
  <c r="D37" i="20" s="1"/>
  <c r="D28" i="19"/>
  <c r="F34" i="20" s="1"/>
  <c r="D25" i="19"/>
  <c r="F31" i="20" s="1"/>
  <c r="E27" i="20"/>
  <c r="D27" i="20" s="1"/>
  <c r="D33" i="19"/>
  <c r="F39" i="20" s="1"/>
  <c r="C29" i="19"/>
  <c r="E35" i="20" s="1"/>
  <c r="D35" i="20" s="1"/>
  <c r="C35" i="20"/>
  <c r="D20" i="19"/>
  <c r="F26" i="20" s="1"/>
  <c r="D30" i="19"/>
  <c r="F36" i="20" s="1"/>
  <c r="C23" i="19"/>
  <c r="D23" i="19" s="1"/>
  <c r="F29" i="20" s="1"/>
  <c r="C29" i="20"/>
  <c r="C26" i="19"/>
  <c r="C32" i="20"/>
  <c r="D32" i="19"/>
  <c r="F38" i="20" s="1"/>
  <c r="E38" i="20"/>
  <c r="D38" i="20" s="1"/>
  <c r="C40" i="20"/>
  <c r="D24" i="19"/>
  <c r="F30" i="20" s="1"/>
  <c r="E30" i="20"/>
  <c r="D30" i="20" s="1"/>
  <c r="D29" i="19" l="1"/>
  <c r="F35" i="20" s="1"/>
  <c r="E29" i="20"/>
  <c r="D29" i="20" s="1"/>
  <c r="D26" i="19"/>
  <c r="F32" i="20" s="1"/>
  <c r="E32" i="20"/>
  <c r="D32" i="20" s="1"/>
  <c r="B46" i="19"/>
  <c r="B47" i="19"/>
  <c r="B48" i="19"/>
  <c r="B49" i="19"/>
  <c r="B50" i="19"/>
  <c r="B51" i="19"/>
  <c r="D51" i="19" s="1"/>
  <c r="B52" i="19"/>
  <c r="D52" i="19" s="1"/>
  <c r="B53" i="19"/>
  <c r="D53" i="19" s="1"/>
  <c r="B54" i="19"/>
  <c r="D54" i="19" s="1"/>
  <c r="C54" i="19" s="1"/>
  <c r="B55" i="19"/>
  <c r="D55" i="19" s="1"/>
  <c r="C55" i="19" s="1"/>
  <c r="B56" i="19"/>
  <c r="D56" i="19" s="1"/>
  <c r="C56" i="19" s="1"/>
  <c r="B57" i="19"/>
  <c r="D57" i="19" s="1"/>
  <c r="C57" i="19" s="1"/>
  <c r="B58" i="19"/>
  <c r="D58" i="19" s="1"/>
  <c r="C58" i="19" s="1"/>
  <c r="B59" i="19"/>
  <c r="D59" i="19" s="1"/>
  <c r="C59" i="19" s="1"/>
  <c r="B45" i="19"/>
  <c r="C53" i="19" l="1"/>
  <c r="C52" i="19"/>
  <c r="C51" i="19"/>
  <c r="E56" i="19"/>
  <c r="E57" i="19"/>
  <c r="E55" i="19"/>
  <c r="E51" i="19"/>
  <c r="E52" i="19"/>
  <c r="E53" i="19"/>
  <c r="E59" i="19"/>
  <c r="E54" i="19"/>
  <c r="E58" i="19"/>
  <c r="B4" i="19" l="1"/>
  <c r="B10" i="20" s="1"/>
  <c r="B5" i="19"/>
  <c r="B11" i="20" s="1"/>
  <c r="B6" i="19"/>
  <c r="B12" i="20" s="1"/>
  <c r="B7" i="19"/>
  <c r="B13" i="20" s="1"/>
  <c r="B8" i="19"/>
  <c r="B14" i="20" s="1"/>
  <c r="B9" i="19"/>
  <c r="B15" i="20" s="1"/>
  <c r="B10" i="19"/>
  <c r="B16" i="20" s="1"/>
  <c r="B11" i="19"/>
  <c r="B17" i="20" s="1"/>
  <c r="B12" i="19"/>
  <c r="B18" i="20" s="1"/>
  <c r="B13" i="19"/>
  <c r="B19" i="20" s="1"/>
  <c r="B14" i="19"/>
  <c r="B20" i="20" s="1"/>
  <c r="B15" i="19"/>
  <c r="B21" i="20" s="1"/>
  <c r="B16" i="19"/>
  <c r="B22" i="20" s="1"/>
  <c r="B17" i="19"/>
  <c r="B23" i="20" s="1"/>
  <c r="B18" i="19"/>
  <c r="B24" i="20" s="1"/>
  <c r="B19" i="19"/>
  <c r="B25" i="20" s="1"/>
  <c r="B35" i="19"/>
  <c r="B41" i="20" s="1"/>
  <c r="B36" i="19"/>
  <c r="B42" i="20" s="1"/>
  <c r="B37" i="19"/>
  <c r="B43" i="20" s="1"/>
  <c r="B3" i="19"/>
  <c r="B9" i="20" s="1"/>
  <c r="A3" i="19"/>
  <c r="A4" i="19"/>
  <c r="A5" i="19"/>
  <c r="A6" i="19"/>
  <c r="A7" i="19"/>
  <c r="A8" i="19"/>
  <c r="A9" i="19"/>
  <c r="A10" i="19"/>
  <c r="A11" i="19"/>
  <c r="A12" i="19"/>
  <c r="A13" i="19"/>
  <c r="A14" i="19"/>
  <c r="A15" i="19"/>
  <c r="A16" i="19"/>
  <c r="A17" i="19"/>
  <c r="A18" i="19"/>
  <c r="A19" i="19"/>
  <c r="A35" i="19"/>
  <c r="A36" i="19"/>
  <c r="A37" i="19"/>
  <c r="H36" i="16" l="1"/>
  <c r="H37" i="16"/>
  <c r="H18" i="16"/>
  <c r="G18" i="16" s="1"/>
  <c r="H19" i="16"/>
  <c r="G19" i="16" s="1"/>
  <c r="G36" i="16" l="1"/>
  <c r="G37" i="16"/>
  <c r="X10" i="17" l="1"/>
  <c r="X11" i="17"/>
  <c r="X12" i="17"/>
  <c r="X15" i="17"/>
  <c r="X17" i="17"/>
  <c r="X19" i="17"/>
  <c r="X21" i="17"/>
  <c r="X22" i="17"/>
  <c r="J10" i="17" l="1"/>
  <c r="J11" i="17"/>
  <c r="J12" i="17"/>
  <c r="J13" i="17"/>
  <c r="J14" i="17"/>
  <c r="D79" i="20" s="1"/>
  <c r="J15" i="17"/>
  <c r="J16" i="17"/>
  <c r="J17" i="17"/>
  <c r="J18" i="17"/>
  <c r="J19" i="17"/>
  <c r="J20" i="17"/>
  <c r="R20" i="17" s="1"/>
  <c r="V20" i="17" s="1"/>
  <c r="J21" i="17"/>
  <c r="J22" i="17"/>
  <c r="J23" i="17"/>
  <c r="J24" i="17"/>
  <c r="J25" i="17"/>
  <c r="J41" i="17"/>
  <c r="J42" i="17"/>
  <c r="J43" i="17"/>
  <c r="J9" i="17"/>
  <c r="D74" i="20" s="1"/>
  <c r="E11" i="19" l="1"/>
  <c r="F11" i="19" s="1"/>
  <c r="H11" i="19" s="1"/>
  <c r="D82" i="20"/>
  <c r="D48" i="19"/>
  <c r="C48" i="19" s="1"/>
  <c r="E48" i="19" s="1"/>
  <c r="D81" i="20"/>
  <c r="E9" i="19"/>
  <c r="F9" i="19" s="1"/>
  <c r="H9" i="19" s="1"/>
  <c r="D80" i="20"/>
  <c r="E15" i="19"/>
  <c r="F15" i="19" s="1"/>
  <c r="H15" i="19" s="1"/>
  <c r="D86" i="20"/>
  <c r="E36" i="19"/>
  <c r="D107" i="20"/>
  <c r="E19" i="19"/>
  <c r="D90" i="20"/>
  <c r="E18" i="19"/>
  <c r="D89" i="20"/>
  <c r="E17" i="19"/>
  <c r="D88" i="20"/>
  <c r="E16" i="19"/>
  <c r="F16" i="19" s="1"/>
  <c r="H16" i="19" s="1"/>
  <c r="D87" i="20"/>
  <c r="D46" i="19"/>
  <c r="D78" i="20"/>
  <c r="E37" i="19"/>
  <c r="D108" i="20"/>
  <c r="D50" i="19"/>
  <c r="D85" i="20"/>
  <c r="E6" i="19"/>
  <c r="G6" i="19" s="1"/>
  <c r="I6" i="19" s="1"/>
  <c r="D77" i="20"/>
  <c r="E13" i="19"/>
  <c r="F13" i="19" s="1"/>
  <c r="H13" i="19" s="1"/>
  <c r="D84" i="20"/>
  <c r="E5" i="19"/>
  <c r="F5" i="19" s="1"/>
  <c r="H5" i="19" s="1"/>
  <c r="D76" i="20"/>
  <c r="E35" i="19"/>
  <c r="D106" i="20"/>
  <c r="D49" i="19"/>
  <c r="D83" i="20"/>
  <c r="E4" i="19"/>
  <c r="G4" i="19" s="1"/>
  <c r="I4" i="19" s="1"/>
  <c r="D75" i="20"/>
  <c r="D45" i="19"/>
  <c r="C45" i="19" s="1"/>
  <c r="E45" i="19" s="1"/>
  <c r="E8" i="19"/>
  <c r="D47" i="19"/>
  <c r="E14" i="19"/>
  <c r="F6" i="19"/>
  <c r="H6" i="19" s="1"/>
  <c r="E10" i="19"/>
  <c r="E3" i="19"/>
  <c r="E12" i="19"/>
  <c r="E7" i="19"/>
  <c r="Y10" i="17"/>
  <c r="Y11" i="17"/>
  <c r="Y12" i="17"/>
  <c r="Y15" i="17"/>
  <c r="Y19" i="17"/>
  <c r="Y21" i="17"/>
  <c r="Y22" i="17"/>
  <c r="O12" i="17"/>
  <c r="O21" i="17"/>
  <c r="O23" i="17"/>
  <c r="O24" i="17"/>
  <c r="O25" i="17"/>
  <c r="AA11" i="17" l="1"/>
  <c r="Z11" i="17"/>
  <c r="G11" i="19"/>
  <c r="I11" i="19" s="1"/>
  <c r="AA22" i="17"/>
  <c r="Z22" i="17"/>
  <c r="AA21" i="17"/>
  <c r="Z21" i="17"/>
  <c r="G5" i="19"/>
  <c r="I5" i="19" s="1"/>
  <c r="AA19" i="17"/>
  <c r="Z19" i="17"/>
  <c r="AA15" i="17"/>
  <c r="Z15" i="17"/>
  <c r="AA12" i="17"/>
  <c r="Z12" i="17"/>
  <c r="AA10" i="17"/>
  <c r="Z10" i="17"/>
  <c r="G16" i="19"/>
  <c r="I16" i="19" s="1"/>
  <c r="G13" i="19"/>
  <c r="I13" i="19" s="1"/>
  <c r="F4" i="19"/>
  <c r="H4" i="19" s="1"/>
  <c r="G9" i="19"/>
  <c r="I9" i="19" s="1"/>
  <c r="G15" i="19"/>
  <c r="I15" i="19" s="1"/>
  <c r="C12" i="20"/>
  <c r="C10" i="20"/>
  <c r="C11" i="20"/>
  <c r="C21" i="20"/>
  <c r="C22" i="20"/>
  <c r="C19" i="20"/>
  <c r="C15" i="20"/>
  <c r="C5" i="19"/>
  <c r="C4" i="19"/>
  <c r="C16" i="19"/>
  <c r="C15" i="19"/>
  <c r="C6" i="19"/>
  <c r="C13" i="19"/>
  <c r="C9" i="19"/>
  <c r="E39" i="19"/>
  <c r="J7" i="17"/>
  <c r="D60" i="19" s="1"/>
  <c r="E60" i="19" s="1"/>
  <c r="O13" i="17"/>
  <c r="M10" i="17"/>
  <c r="G75" i="20" s="1"/>
  <c r="M11" i="17"/>
  <c r="G76" i="20" s="1"/>
  <c r="M12" i="17"/>
  <c r="G77" i="20" s="1"/>
  <c r="M15" i="17"/>
  <c r="G80" i="20" s="1"/>
  <c r="M19" i="17"/>
  <c r="G84" i="20" s="1"/>
  <c r="M21" i="17"/>
  <c r="G86" i="20" s="1"/>
  <c r="M22" i="17"/>
  <c r="G87" i="20" s="1"/>
  <c r="L10" i="17"/>
  <c r="L11" i="17"/>
  <c r="L12" i="17"/>
  <c r="L13" i="17"/>
  <c r="L14" i="17"/>
  <c r="L15" i="17"/>
  <c r="L16" i="17"/>
  <c r="L17" i="17"/>
  <c r="L18" i="17"/>
  <c r="L19" i="17"/>
  <c r="L21" i="17"/>
  <c r="L22" i="17"/>
  <c r="L23" i="17"/>
  <c r="M23" i="17" s="1"/>
  <c r="G88" i="20" s="1"/>
  <c r="L24" i="17"/>
  <c r="M24" i="17" s="1"/>
  <c r="G89" i="20" s="1"/>
  <c r="L25" i="17"/>
  <c r="M25" i="17" s="1"/>
  <c r="G90" i="20" s="1"/>
  <c r="L41" i="17"/>
  <c r="M41" i="17" s="1"/>
  <c r="G106" i="20" s="1"/>
  <c r="L42" i="17"/>
  <c r="M42" i="17" s="1"/>
  <c r="G107" i="20" s="1"/>
  <c r="L43" i="17"/>
  <c r="M43" i="17" s="1"/>
  <c r="G108" i="20" s="1"/>
  <c r="L9" i="17"/>
  <c r="F74" i="20" s="1"/>
  <c r="Q41" i="17" l="1"/>
  <c r="F106" i="20"/>
  <c r="Q10" i="17"/>
  <c r="F75" i="20"/>
  <c r="Q17" i="17"/>
  <c r="F82" i="20"/>
  <c r="Q15" i="17"/>
  <c r="F80" i="20"/>
  <c r="Q18" i="17"/>
  <c r="F83" i="20"/>
  <c r="Q16" i="17"/>
  <c r="F81" i="20"/>
  <c r="Q23" i="17"/>
  <c r="F88" i="20"/>
  <c r="Q22" i="17"/>
  <c r="F87" i="20"/>
  <c r="Q13" i="17"/>
  <c r="F78" i="20"/>
  <c r="Q43" i="17"/>
  <c r="F108" i="20"/>
  <c r="F85" i="20"/>
  <c r="Q12" i="17"/>
  <c r="F77" i="20"/>
  <c r="Q25" i="17"/>
  <c r="F90" i="20"/>
  <c r="Q24" i="17"/>
  <c r="F89" i="20"/>
  <c r="Q14" i="17"/>
  <c r="F79" i="20"/>
  <c r="Q21" i="17"/>
  <c r="F86" i="20"/>
  <c r="Q42" i="17"/>
  <c r="F107" i="20"/>
  <c r="Q19" i="17"/>
  <c r="F84" i="20"/>
  <c r="Q11" i="17"/>
  <c r="F76" i="20"/>
  <c r="D15" i="19"/>
  <c r="F21" i="20" s="1"/>
  <c r="E21" i="20"/>
  <c r="D21" i="20" s="1"/>
  <c r="D13" i="19"/>
  <c r="F19" i="20" s="1"/>
  <c r="E19" i="20"/>
  <c r="D19" i="20" s="1"/>
  <c r="D5" i="19"/>
  <c r="F11" i="20" s="1"/>
  <c r="E11" i="20"/>
  <c r="D11" i="20" s="1"/>
  <c r="D16" i="19"/>
  <c r="F22" i="20" s="1"/>
  <c r="E22" i="20"/>
  <c r="D22" i="20" s="1"/>
  <c r="D9" i="19"/>
  <c r="F15" i="20" s="1"/>
  <c r="E15" i="20"/>
  <c r="D15" i="20" s="1"/>
  <c r="D4" i="19"/>
  <c r="F10" i="20" s="1"/>
  <c r="E10" i="20"/>
  <c r="D10" i="20" s="1"/>
  <c r="D6" i="19"/>
  <c r="F12" i="20" s="1"/>
  <c r="E12" i="20"/>
  <c r="D12" i="20" s="1"/>
  <c r="G85" i="20"/>
  <c r="M18" i="17"/>
  <c r="G83" i="20" s="1"/>
  <c r="M14" i="17"/>
  <c r="G79" i="20" s="1"/>
  <c r="M17" i="17"/>
  <c r="G82" i="20" s="1"/>
  <c r="M16" i="17"/>
  <c r="G81" i="20" s="1"/>
  <c r="M9" i="17"/>
  <c r="G74" i="20" s="1"/>
  <c r="M13" i="17"/>
  <c r="G78" i="20" s="1"/>
  <c r="S7" i="17"/>
  <c r="R10" i="17" l="1"/>
  <c r="R11" i="17"/>
  <c r="R12" i="17"/>
  <c r="R15" i="17"/>
  <c r="R19" i="17"/>
  <c r="R21" i="17"/>
  <c r="R22" i="17"/>
  <c r="N9" i="17" l="1"/>
  <c r="N10" i="17"/>
  <c r="O10" i="17" s="1"/>
  <c r="N11" i="17"/>
  <c r="O11" i="17" s="1"/>
  <c r="P12" i="17"/>
  <c r="V12" i="17" s="1"/>
  <c r="O16" i="17"/>
  <c r="O17" i="17"/>
  <c r="O18" i="17"/>
  <c r="P21" i="17"/>
  <c r="V21" i="17" s="1"/>
  <c r="P23" i="17"/>
  <c r="P24" i="17"/>
  <c r="P25" i="17"/>
  <c r="O41" i="17"/>
  <c r="N42" i="17"/>
  <c r="N43" i="17"/>
  <c r="O43" i="17" s="1"/>
  <c r="H17" i="16"/>
  <c r="H20" i="16"/>
  <c r="H22" i="16"/>
  <c r="G22" i="16" s="1"/>
  <c r="H28" i="16"/>
  <c r="C49" i="19" s="1"/>
  <c r="E49" i="19" s="1"/>
  <c r="H29" i="16"/>
  <c r="G29" i="16" s="1"/>
  <c r="H31" i="16"/>
  <c r="H38" i="16"/>
  <c r="G41" i="16"/>
  <c r="H41" i="16" s="1"/>
  <c r="C47" i="19" s="1"/>
  <c r="E47" i="19" s="1"/>
  <c r="G42" i="16"/>
  <c r="H42" i="16" s="1"/>
  <c r="G43" i="16"/>
  <c r="H43" i="16" s="1"/>
  <c r="G44" i="16"/>
  <c r="H44" i="16" s="1"/>
  <c r="C50" i="19" s="1"/>
  <c r="E50" i="19" s="1"/>
  <c r="G45" i="16"/>
  <c r="H45" i="16" s="1"/>
  <c r="G46" i="16"/>
  <c r="H46" i="16" s="1"/>
  <c r="G47" i="16"/>
  <c r="H47" i="16" s="1"/>
  <c r="G48" i="16"/>
  <c r="C57" i="20" s="1"/>
  <c r="H50" i="16"/>
  <c r="H51" i="16"/>
  <c r="G51" i="16" s="1"/>
  <c r="H52" i="16"/>
  <c r="G52" i="16" s="1"/>
  <c r="H53" i="16"/>
  <c r="G53" i="16" s="1"/>
  <c r="H54" i="16"/>
  <c r="G54" i="16" s="1"/>
  <c r="G55" i="16"/>
  <c r="G56" i="16"/>
  <c r="G57" i="16"/>
  <c r="G58" i="16"/>
  <c r="G59" i="16"/>
  <c r="G60" i="16"/>
  <c r="G61" i="16"/>
  <c r="G62" i="16"/>
  <c r="C46" i="19" l="1"/>
  <c r="E46" i="19" s="1"/>
  <c r="R25" i="17"/>
  <c r="V25" i="17" s="1"/>
  <c r="R24" i="17"/>
  <c r="V24" i="17" s="1"/>
  <c r="R23" i="17"/>
  <c r="T23" i="17" s="1"/>
  <c r="C59" i="20"/>
  <c r="G28" i="16"/>
  <c r="G21" i="16" s="1"/>
  <c r="C54" i="20" s="1"/>
  <c r="G31" i="16"/>
  <c r="G17" i="16"/>
  <c r="H16" i="16"/>
  <c r="D53" i="20" s="1"/>
  <c r="T12" i="17"/>
  <c r="W12" i="17" s="1"/>
  <c r="T21" i="17"/>
  <c r="U21" i="17" s="1"/>
  <c r="O42" i="17"/>
  <c r="P42" i="17" s="1"/>
  <c r="O22" i="17"/>
  <c r="P22" i="17" s="1"/>
  <c r="V22" i="17" s="1"/>
  <c r="O15" i="17"/>
  <c r="P15" i="17" s="1"/>
  <c r="V15" i="17" s="1"/>
  <c r="O19" i="17"/>
  <c r="P19" i="17" s="1"/>
  <c r="V19" i="17" s="1"/>
  <c r="O14" i="17"/>
  <c r="P14" i="17" s="1"/>
  <c r="O9" i="17"/>
  <c r="P9" i="17" s="1"/>
  <c r="P43" i="17"/>
  <c r="H49" i="16"/>
  <c r="D58" i="20" s="1"/>
  <c r="G39" i="16"/>
  <c r="C56" i="20" s="1"/>
  <c r="H30" i="16"/>
  <c r="D55" i="20" s="1"/>
  <c r="P18" i="17"/>
  <c r="P41" i="17"/>
  <c r="P16" i="17"/>
  <c r="P10" i="17"/>
  <c r="V10" i="17" s="1"/>
  <c r="P13" i="17"/>
  <c r="P11" i="17"/>
  <c r="V11" i="17" s="1"/>
  <c r="P17" i="17"/>
  <c r="H39" i="16"/>
  <c r="D56" i="20" s="1"/>
  <c r="H21" i="16"/>
  <c r="D54" i="20" s="1"/>
  <c r="G50" i="16"/>
  <c r="G49" i="16" s="1"/>
  <c r="C58" i="20" s="1"/>
  <c r="G38" i="16"/>
  <c r="G20" i="16"/>
  <c r="T24" i="17" l="1"/>
  <c r="U24" i="17" s="1"/>
  <c r="T25" i="17"/>
  <c r="W25" i="17" s="1"/>
  <c r="H90" i="20" s="1"/>
  <c r="V23" i="17"/>
  <c r="W23" i="17" s="1"/>
  <c r="R43" i="17"/>
  <c r="V43" i="17" s="1"/>
  <c r="W24" i="17"/>
  <c r="I89" i="20" s="1"/>
  <c r="X24" i="17"/>
  <c r="Y24" i="17"/>
  <c r="R41" i="17"/>
  <c r="V41" i="17" s="1"/>
  <c r="R42" i="17"/>
  <c r="T42" i="17" s="1"/>
  <c r="U42" i="17" s="1"/>
  <c r="H77" i="20"/>
  <c r="I77" i="20"/>
  <c r="G30" i="16"/>
  <c r="C55" i="20" s="1"/>
  <c r="C60" i="19"/>
  <c r="C61" i="19" s="1"/>
  <c r="U23" i="17"/>
  <c r="G16" i="16"/>
  <c r="C53" i="20" s="1"/>
  <c r="W21" i="17"/>
  <c r="T11" i="17"/>
  <c r="U11" i="17" s="1"/>
  <c r="T10" i="17"/>
  <c r="W10" i="17" s="1"/>
  <c r="T22" i="17"/>
  <c r="U22" i="17" s="1"/>
  <c r="T19" i="17"/>
  <c r="U19" i="17" s="1"/>
  <c r="T15" i="17"/>
  <c r="U15" i="17" s="1"/>
  <c r="R13" i="17"/>
  <c r="V13" i="17" s="1"/>
  <c r="T20" i="17"/>
  <c r="R18" i="17"/>
  <c r="T18" i="17" s="1"/>
  <c r="R16" i="17"/>
  <c r="V16" i="17" s="1"/>
  <c r="R17" i="17"/>
  <c r="V17" i="17" s="1"/>
  <c r="R14" i="17"/>
  <c r="V14" i="17" s="1"/>
  <c r="R9" i="17"/>
  <c r="V9" i="17" s="1"/>
  <c r="O7" i="17"/>
  <c r="P7" i="17"/>
  <c r="U12" i="17"/>
  <c r="Q7" i="17"/>
  <c r="U25" i="17" l="1"/>
  <c r="T43" i="17"/>
  <c r="U43" i="17" s="1"/>
  <c r="AA24" i="17"/>
  <c r="Z24" i="17"/>
  <c r="V42" i="17"/>
  <c r="W42" i="17" s="1"/>
  <c r="V18" i="17"/>
  <c r="V7" i="17" s="1"/>
  <c r="H89" i="20"/>
  <c r="Y43" i="17"/>
  <c r="I90" i="20"/>
  <c r="X23" i="17"/>
  <c r="Y23" i="17"/>
  <c r="I88" i="20"/>
  <c r="H88" i="20"/>
  <c r="C24" i="20"/>
  <c r="T41" i="17"/>
  <c r="U41" i="17" s="1"/>
  <c r="X25" i="17"/>
  <c r="Y25" i="17"/>
  <c r="I86" i="20"/>
  <c r="H86" i="20"/>
  <c r="H75" i="20"/>
  <c r="I75" i="20"/>
  <c r="T13" i="17"/>
  <c r="U13" i="17" s="1"/>
  <c r="W11" i="17"/>
  <c r="T17" i="17"/>
  <c r="W17" i="17" s="1"/>
  <c r="T16" i="17"/>
  <c r="W16" i="17" s="1"/>
  <c r="W19" i="17"/>
  <c r="U18" i="17"/>
  <c r="W22" i="17"/>
  <c r="W15" i="17"/>
  <c r="T14" i="17"/>
  <c r="W14" i="17" s="1"/>
  <c r="T9" i="17"/>
  <c r="U9" i="17" s="1"/>
  <c r="U20" i="17"/>
  <c r="R7" i="17"/>
  <c r="U10" i="17"/>
  <c r="AA23" i="17" l="1"/>
  <c r="Z23" i="17"/>
  <c r="W43" i="17"/>
  <c r="I108" i="20" s="1"/>
  <c r="W18" i="17"/>
  <c r="X18" i="17" s="1"/>
  <c r="AA43" i="17"/>
  <c r="Z43" i="17"/>
  <c r="AA25" i="17"/>
  <c r="Z25" i="17"/>
  <c r="X43" i="17"/>
  <c r="W41" i="17"/>
  <c r="C43" i="20"/>
  <c r="X41" i="17"/>
  <c r="Y41" i="17"/>
  <c r="X42" i="17"/>
  <c r="Y42" i="17"/>
  <c r="C23" i="20"/>
  <c r="C25" i="20"/>
  <c r="H84" i="20"/>
  <c r="I84" i="20"/>
  <c r="X16" i="17"/>
  <c r="I81" i="20"/>
  <c r="H81" i="20"/>
  <c r="H82" i="20"/>
  <c r="I82" i="20"/>
  <c r="H107" i="20"/>
  <c r="I107" i="20"/>
  <c r="H76" i="20"/>
  <c r="I76" i="20"/>
  <c r="X14" i="17"/>
  <c r="H79" i="20"/>
  <c r="I79" i="20"/>
  <c r="H80" i="20"/>
  <c r="I80" i="20"/>
  <c r="H87" i="20"/>
  <c r="I87" i="20"/>
  <c r="I106" i="20"/>
  <c r="H106" i="20"/>
  <c r="W20" i="17"/>
  <c r="W13" i="17"/>
  <c r="U16" i="17"/>
  <c r="U17" i="17"/>
  <c r="T7" i="17"/>
  <c r="W9" i="17"/>
  <c r="U14" i="17"/>
  <c r="Y17" i="17"/>
  <c r="Y14" i="17"/>
  <c r="H15" i="16"/>
  <c r="G15" i="16" s="1"/>
  <c r="H83" i="20" l="1"/>
  <c r="AA41" i="17"/>
  <c r="Z41" i="17"/>
  <c r="AA17" i="17"/>
  <c r="Z17" i="17"/>
  <c r="I83" i="20"/>
  <c r="H108" i="20"/>
  <c r="AA42" i="17"/>
  <c r="Z42" i="17"/>
  <c r="Y18" i="17"/>
  <c r="Z18" i="17"/>
  <c r="AA18" i="17" s="1"/>
  <c r="Z14" i="17"/>
  <c r="AA14" i="17" s="1"/>
  <c r="C18" i="20"/>
  <c r="C14" i="20"/>
  <c r="C42" i="20"/>
  <c r="C41" i="20"/>
  <c r="X20" i="17"/>
  <c r="H85" i="20"/>
  <c r="I85" i="20"/>
  <c r="C17" i="20"/>
  <c r="X9" i="17"/>
  <c r="H74" i="20"/>
  <c r="I74" i="20"/>
  <c r="X13" i="17"/>
  <c r="H78" i="20"/>
  <c r="I78" i="20"/>
  <c r="Y20" i="17"/>
  <c r="Y13" i="17"/>
  <c r="C11" i="19"/>
  <c r="U7" i="17"/>
  <c r="H14" i="16" s="1"/>
  <c r="G14" i="16" s="1"/>
  <c r="Y9" i="17"/>
  <c r="Y16" i="17"/>
  <c r="W6" i="17"/>
  <c r="Z9" i="17" l="1"/>
  <c r="AA9" i="17" s="1"/>
  <c r="Z20" i="17"/>
  <c r="AA20" i="17" s="1"/>
  <c r="Z16" i="17"/>
  <c r="AA16" i="17" s="1"/>
  <c r="Z13" i="17"/>
  <c r="AA13" i="17" s="1"/>
  <c r="C13" i="20"/>
  <c r="C9" i="20"/>
  <c r="C20" i="20"/>
  <c r="C16" i="20"/>
  <c r="D11" i="19"/>
  <c r="F17" i="20" s="1"/>
  <c r="E17" i="20"/>
  <c r="D17" i="20" s="1"/>
  <c r="H12" i="16"/>
  <c r="H13" i="16"/>
  <c r="G12" i="16" l="1"/>
  <c r="C51" i="20" s="1"/>
  <c r="D51" i="20"/>
  <c r="G13" i="16"/>
  <c r="D52" i="20"/>
  <c r="H11" i="16"/>
  <c r="H63" i="16" s="1"/>
  <c r="H65" i="16" l="1"/>
  <c r="G65" i="16" s="1"/>
  <c r="C61" i="20" s="1"/>
  <c r="G11" i="16"/>
  <c r="G63" i="16" s="1"/>
  <c r="C52" i="20"/>
  <c r="H64" i="16"/>
  <c r="D60" i="20" s="1"/>
  <c r="D61" i="20" l="1"/>
  <c r="H66" i="16"/>
  <c r="H67" i="16" s="1"/>
  <c r="G64" i="16"/>
  <c r="G66" i="16" l="1"/>
  <c r="C60" i="20"/>
  <c r="H68" i="16"/>
  <c r="D63" i="20" s="1"/>
  <c r="D62" i="20"/>
  <c r="F45" i="19"/>
  <c r="G67" i="16"/>
  <c r="G68" i="16" l="1"/>
  <c r="C63" i="20" s="1"/>
  <c r="C62" i="20"/>
  <c r="F46" i="19"/>
  <c r="G45" i="19"/>
  <c r="C3" i="19" s="1"/>
  <c r="H69" i="16"/>
  <c r="G69" i="16"/>
  <c r="C64" i="20" s="1"/>
  <c r="I15" i="16" l="1"/>
  <c r="I14" i="16"/>
  <c r="D64" i="20"/>
  <c r="I67" i="16"/>
  <c r="E62" i="20" s="1"/>
  <c r="I59" i="16"/>
  <c r="I30" i="16"/>
  <c r="E55" i="20" s="1"/>
  <c r="I58" i="16"/>
  <c r="I21" i="16"/>
  <c r="E54" i="20" s="1"/>
  <c r="I65" i="16"/>
  <c r="E61" i="20" s="1"/>
  <c r="I57" i="16"/>
  <c r="I16" i="16"/>
  <c r="E53" i="20" s="1"/>
  <c r="I64" i="16"/>
  <c r="E60" i="20" s="1"/>
  <c r="I56" i="16"/>
  <c r="I13" i="16"/>
  <c r="E52" i="20" s="1"/>
  <c r="I63" i="16"/>
  <c r="I55" i="16"/>
  <c r="I49" i="16"/>
  <c r="E58" i="20" s="1"/>
  <c r="I11" i="16"/>
  <c r="I48" i="16"/>
  <c r="E57" i="20" s="1"/>
  <c r="I39" i="16"/>
  <c r="E56" i="20" s="1"/>
  <c r="I66" i="16"/>
  <c r="I12" i="16"/>
  <c r="E51" i="20" s="1"/>
  <c r="I61" i="16"/>
  <c r="I60" i="16"/>
  <c r="I62" i="16"/>
  <c r="D3" i="19"/>
  <c r="F9" i="20" s="1"/>
  <c r="E9" i="20"/>
  <c r="D9" i="20" s="1"/>
  <c r="F47" i="19"/>
  <c r="G46" i="19"/>
  <c r="C7" i="19" s="1"/>
  <c r="E13" i="20" s="1"/>
  <c r="D13" i="20" s="1"/>
  <c r="F3" i="19"/>
  <c r="G70" i="16"/>
  <c r="H70" i="16"/>
  <c r="G3" i="19" l="1"/>
  <c r="I3" i="19" s="1"/>
  <c r="G71" i="16"/>
  <c r="C66" i="20" s="1"/>
  <c r="C65" i="20"/>
  <c r="H71" i="16"/>
  <c r="D65" i="20"/>
  <c r="F48" i="19"/>
  <c r="G47" i="19"/>
  <c r="C8" i="19" s="1"/>
  <c r="H3" i="19"/>
  <c r="D7" i="19"/>
  <c r="F13" i="20" s="1"/>
  <c r="D66" i="20" l="1"/>
  <c r="E59" i="20"/>
  <c r="D8" i="19"/>
  <c r="F14" i="20" s="1"/>
  <c r="E14" i="20"/>
  <c r="D14" i="20" s="1"/>
  <c r="F49" i="19"/>
  <c r="G48" i="19"/>
  <c r="C10" i="19" s="1"/>
  <c r="E16" i="20" s="1"/>
  <c r="D16" i="20" s="1"/>
  <c r="F8" i="19"/>
  <c r="H8" i="19" s="1"/>
  <c r="F7" i="19"/>
  <c r="G7" i="19"/>
  <c r="G8" i="19" l="1"/>
  <c r="I8" i="19" s="1"/>
  <c r="F50" i="19"/>
  <c r="G49" i="19"/>
  <c r="C12" i="19" s="1"/>
  <c r="E18" i="20" s="1"/>
  <c r="D18" i="20" s="1"/>
  <c r="H7" i="19"/>
  <c r="I7" i="19"/>
  <c r="F51" i="19" l="1"/>
  <c r="G50" i="19"/>
  <c r="D12" i="19"/>
  <c r="F18" i="20" s="1"/>
  <c r="C37" i="19" l="1"/>
  <c r="D37" i="19" s="1"/>
  <c r="C34" i="19"/>
  <c r="F37" i="19"/>
  <c r="H37" i="19" s="1"/>
  <c r="C14" i="19"/>
  <c r="F14" i="19" s="1"/>
  <c r="H14" i="19" s="1"/>
  <c r="C18" i="19"/>
  <c r="C17" i="19"/>
  <c r="C19" i="19"/>
  <c r="C36" i="19"/>
  <c r="C35" i="19"/>
  <c r="F52" i="19"/>
  <c r="G51" i="19"/>
  <c r="F12" i="19"/>
  <c r="H12" i="19" s="1"/>
  <c r="G12" i="19"/>
  <c r="I12" i="19" s="1"/>
  <c r="E43" i="20" l="1"/>
  <c r="D43" i="20" s="1"/>
  <c r="D34" i="19"/>
  <c r="E40" i="20"/>
  <c r="D40" i="20" s="1"/>
  <c r="F34" i="19"/>
  <c r="H34" i="19" s="1"/>
  <c r="F43" i="20"/>
  <c r="G37" i="19"/>
  <c r="I37" i="19" s="1"/>
  <c r="D35" i="19"/>
  <c r="F35" i="19"/>
  <c r="H35" i="19" s="1"/>
  <c r="E41" i="20"/>
  <c r="D41" i="20" s="1"/>
  <c r="D36" i="19"/>
  <c r="E42" i="20"/>
  <c r="D42" i="20" s="1"/>
  <c r="F36" i="19"/>
  <c r="H36" i="19" s="1"/>
  <c r="E25" i="20"/>
  <c r="D25" i="20" s="1"/>
  <c r="D19" i="19"/>
  <c r="F19" i="19"/>
  <c r="H19" i="19" s="1"/>
  <c r="E23" i="20"/>
  <c r="D23" i="20" s="1"/>
  <c r="F17" i="19"/>
  <c r="H17" i="19" s="1"/>
  <c r="D17" i="19"/>
  <c r="E20" i="20"/>
  <c r="D20" i="20" s="1"/>
  <c r="D14" i="19"/>
  <c r="F20" i="20" s="1"/>
  <c r="F18" i="19"/>
  <c r="H18" i="19" s="1"/>
  <c r="E24" i="20"/>
  <c r="D24" i="20" s="1"/>
  <c r="D18" i="19"/>
  <c r="F53" i="19"/>
  <c r="G52" i="19"/>
  <c r="D10" i="19"/>
  <c r="F10" i="19"/>
  <c r="F40" i="20" l="1"/>
  <c r="G34" i="19"/>
  <c r="I34" i="19" s="1"/>
  <c r="F39" i="19"/>
  <c r="F25" i="20"/>
  <c r="G19" i="19"/>
  <c r="I19" i="19" s="1"/>
  <c r="G14" i="19"/>
  <c r="I14" i="19" s="1"/>
  <c r="F23" i="20"/>
  <c r="G17" i="19"/>
  <c r="I17" i="19" s="1"/>
  <c r="G36" i="19"/>
  <c r="I36" i="19" s="1"/>
  <c r="F42" i="20"/>
  <c r="F24" i="20"/>
  <c r="G18" i="19"/>
  <c r="I18" i="19" s="1"/>
  <c r="F41" i="20"/>
  <c r="G35" i="19"/>
  <c r="I35" i="19" s="1"/>
  <c r="G10" i="19"/>
  <c r="F16" i="20"/>
  <c r="F54" i="19"/>
  <c r="G53" i="19"/>
  <c r="H10" i="19"/>
  <c r="H39" i="19" s="1"/>
  <c r="G39" i="19" l="1"/>
  <c r="I10" i="19"/>
  <c r="I39" i="19" s="1"/>
  <c r="F55" i="19"/>
  <c r="G54" i="19"/>
  <c r="F56" i="19" l="1"/>
  <c r="G55" i="19"/>
  <c r="F57" i="19" l="1"/>
  <c r="G56" i="19"/>
  <c r="F58" i="19" l="1"/>
  <c r="G57" i="19"/>
  <c r="F59" i="19" l="1"/>
  <c r="G58" i="19"/>
  <c r="F60" i="19" l="1"/>
  <c r="G60" i="19" s="1"/>
  <c r="G5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57" authorId="0" shapeId="0" xr:uid="{00000000-0006-0000-0200-000001000000}">
      <text>
        <r>
          <rPr>
            <sz val="9"/>
            <color indexed="81"/>
            <rFont val="Tahoma"/>
            <family val="2"/>
            <charset val="204"/>
          </rPr>
          <t>обучение, санитарные книжки, допуски, лицензии и т.п.</t>
        </r>
      </text>
    </comment>
    <comment ref="B59" authorId="0" shapeId="0" xr:uid="{00000000-0006-0000-0200-000002000000}">
      <text>
        <r>
          <rPr>
            <sz val="9"/>
            <color indexed="81"/>
            <rFont val="Tahoma"/>
            <family val="2"/>
            <charset val="204"/>
          </rPr>
          <t>доставка персонала и материалов, логистические затраты и т.п.</t>
        </r>
      </text>
    </comment>
    <comment ref="B60" authorId="0" shapeId="0" xr:uid="{00000000-0006-0000-0200-000003000000}">
      <text>
        <r>
          <rPr>
            <sz val="9"/>
            <color indexed="81"/>
            <rFont val="Tahoma"/>
            <family val="2"/>
            <charset val="204"/>
          </rPr>
          <t>аренда помещений, расходы на запуск, моб. связь, интернет, канцелярские товары и т.п</t>
        </r>
      </text>
    </comment>
    <comment ref="B64" authorId="0" shapeId="0" xr:uid="{00000000-0006-0000-0200-000004000000}">
      <text>
        <r>
          <rPr>
            <sz val="9"/>
            <color indexed="81"/>
            <rFont val="Tahoma"/>
            <family val="2"/>
            <charset val="204"/>
          </rPr>
          <t>затраты на АУП, аренду офисных и складских помещений, страхование, налог на имущество и т.п.</t>
        </r>
      </text>
    </comment>
    <comment ref="B65" authorId="0" shapeId="0" xr:uid="{00000000-0006-0000-0200-000005000000}">
      <text>
        <r>
          <rPr>
            <sz val="9"/>
            <color indexed="81"/>
            <rFont val="Tahoma"/>
            <family val="2"/>
            <charset val="204"/>
          </rPr>
          <t>кредит учитывается для покрытия потребности в оборотных средствах (ФОТ, ТМЦ)</t>
        </r>
      </text>
    </comment>
  </commentList>
</comments>
</file>

<file path=xl/sharedStrings.xml><?xml version="1.0" encoding="utf-8"?>
<sst xmlns="http://schemas.openxmlformats.org/spreadsheetml/2006/main" count="454" uniqueCount="384">
  <si>
    <t>Расходы на оплату труда</t>
  </si>
  <si>
    <t>Инвентарь</t>
  </si>
  <si>
    <t>Спецодежда</t>
  </si>
  <si>
    <t>Амортизация ОС</t>
  </si>
  <si>
    <t>Подрядные работы</t>
  </si>
  <si>
    <t>Эксплуатация и ремонт оборудования</t>
  </si>
  <si>
    <t>Расходные материалы (РМ для сан.зон)</t>
  </si>
  <si>
    <t>Расходные материалы (химия и РМ для уборки)</t>
  </si>
  <si>
    <t>Расходные материалы</t>
  </si>
  <si>
    <t>ковросервис</t>
  </si>
  <si>
    <t>альп.работы</t>
  </si>
  <si>
    <t>вывоз отходов</t>
  </si>
  <si>
    <t>Прочие расходы</t>
  </si>
  <si>
    <t>Транспортные расходы</t>
  </si>
  <si>
    <t>Менеджер объекта</t>
  </si>
  <si>
    <t>График и время работы</t>
  </si>
  <si>
    <t>Кол-во месяцев</t>
  </si>
  <si>
    <t>Комментарии</t>
  </si>
  <si>
    <t>Наименование статьи затрат</t>
  </si>
  <si>
    <t>Кол-во</t>
  </si>
  <si>
    <t>НДФЛ</t>
  </si>
  <si>
    <t>Стоимость  без НДС</t>
  </si>
  <si>
    <t xml:space="preserve">Накладные расходы       </t>
  </si>
  <si>
    <t xml:space="preserve">  Зарплата, премии, компенсации</t>
  </si>
  <si>
    <t xml:space="preserve">  Налоги на ФОТ </t>
  </si>
  <si>
    <t>НДС</t>
  </si>
  <si>
    <t>Себестоимость (производственная)</t>
  </si>
  <si>
    <t>Полная себестоимость (справочно)</t>
  </si>
  <si>
    <t xml:space="preserve">Вознаграждение </t>
  </si>
  <si>
    <t>Кол- во, чел.</t>
  </si>
  <si>
    <t>Расходы на оплату труда (см. лист "Расчет ФОТ")</t>
  </si>
  <si>
    <t>Цена покупки, руб.</t>
  </si>
  <si>
    <t>Инвентарь 1</t>
  </si>
  <si>
    <t>Инвентарь 2</t>
  </si>
  <si>
    <t>Инвентарь 3</t>
  </si>
  <si>
    <t>Спецодежда 2</t>
  </si>
  <si>
    <t>Горюче-смазочные материалы (ГСМ)</t>
  </si>
  <si>
    <t>Аренда оборудования и транспортных средств (ТС)</t>
  </si>
  <si>
    <t>Оплата праздничных дней производится в двойном размере.</t>
  </si>
  <si>
    <t xml:space="preserve">Размер оплачиваемого работодателем больничного листа в расчете учитывается для каждого сотрудника в размере не менее стоимости 3 (трёх) рабочих дней ежегодно. </t>
  </si>
  <si>
    <t xml:space="preserve">Спецодежда 1 </t>
  </si>
  <si>
    <t>Расходы на СОУТ (новый объект),  по охране труда (ОТ) и промышленной безопасности (ПБ)</t>
  </si>
  <si>
    <t>Стоимость с НДС (20%)</t>
  </si>
  <si>
    <t>Электрооборудование крупное -  поломоечные машины различного типа (3 амортизационная группа)</t>
  </si>
  <si>
    <t>Механизация крупная (фронтальные погрузчики с навесным оборудованием более 1 куб.м., самосвалы грузоподъемностью более 10 тонн, автогрейдеры) 5 аморт.группа</t>
  </si>
  <si>
    <t>Механизация средняя и малая западного производства  (фронтальные погрузчики  до 1 куб.м., коммунальные машины для уборки дорог и тротуаров, паркингов, самосвалы до 10 тонн и проч.) 4 аморт.группа</t>
  </si>
  <si>
    <t>Механизация средняя и малая производства СНГ и КНР  (фронтальные погрузчики типа МТЗ до 1 куб.м., коммунальные машины для уборки дорог и тратуаров, паркингов, самосвалы до 10 тонн и проч.) 4 аморт.группа</t>
  </si>
  <si>
    <t>Стоимость заемных средств (при отсрочке платежей от 30 календарных дней и более)</t>
  </si>
  <si>
    <t>Оператор внутренней уборки</t>
  </si>
  <si>
    <t>Оператор поломоечной машины</t>
  </si>
  <si>
    <t>Оператор внешней уборки</t>
  </si>
  <si>
    <t>Тракторист</t>
  </si>
  <si>
    <t>Количество дней отсрочки платежа</t>
  </si>
  <si>
    <t>Коэффициент накладных расходов</t>
  </si>
  <si>
    <t>Ставка по кредиту</t>
  </si>
  <si>
    <t>Коэффициент расчета вознаграждения</t>
  </si>
  <si>
    <t>Стоимость, руб.</t>
  </si>
  <si>
    <t>Расходы на банковскую гарантию и обеспечение заявки, руб.</t>
  </si>
  <si>
    <t>дератизация</t>
  </si>
  <si>
    <t>вывоз снега</t>
  </si>
  <si>
    <t>Калькуляция</t>
  </si>
  <si>
    <t xml:space="preserve">В настоящей форме Калькуляции все затраты необходимо указывать без учета НДС. </t>
  </si>
  <si>
    <t>Количество дней отпуска рассчитывается исходя из 28 календарных дней. Дополнительно учитывается отпуск, установленный законодательством для районов Крайнего Севера и приравненных к ним (8,16 или 24 календарных дня), а также отпуск, который может быть установлен по результатам специальной оценки условий труда (СОУТ).</t>
  </si>
  <si>
    <t>Срок контракта, мес.</t>
  </si>
  <si>
    <t>Кол-во рабочих часов в смену</t>
  </si>
  <si>
    <t>Кол-во рабочих смен в месяц</t>
  </si>
  <si>
    <t>Кол-во рабочих часов итого</t>
  </si>
  <si>
    <t xml:space="preserve">Субъект РФ, в котором оказывается услуга </t>
  </si>
  <si>
    <t>Площадь объекта (кв.м)</t>
  </si>
  <si>
    <t xml:space="preserve">Наименование/ИНН подрядчика </t>
  </si>
  <si>
    <t xml:space="preserve">Наименование/ИНН заказчика услуг, к которому относится объект </t>
  </si>
  <si>
    <t>Вид объекта</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</si>
  <si>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</si>
  <si>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</si>
  <si>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</si>
  <si>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</si>
  <si>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</si>
  <si>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</si>
  <si>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</si>
  <si>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</si>
  <si>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</si>
  <si>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</si>
  <si>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</si>
  <si>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</si>
  <si>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</si>
  <si>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</si>
  <si>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</si>
  <si>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</si>
  <si>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</si>
  <si>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</si>
  <si>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</si>
  <si>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</si>
  <si>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</si>
  <si>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</si>
  <si>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</si>
  <si>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</si>
  <si>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</si>
  <si>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Республика Калмыкия</t>
  </si>
  <si>
    <t>Республика Крым</t>
  </si>
  <si>
    <t>Краснодарский край</t>
  </si>
  <si>
    <t>Астраханская область</t>
  </si>
  <si>
    <t>Волгоградская область</t>
  </si>
  <si>
    <t>Ростовская область</t>
  </si>
  <si>
    <t>Республика Башкортостан</t>
  </si>
  <si>
    <t>Республика Марий Эл</t>
  </si>
  <si>
    <t>Республика Мордовия</t>
  </si>
  <si>
    <t>Удмуртская Республика</t>
  </si>
  <si>
    <t>Пермский край</t>
  </si>
  <si>
    <t>Кировская область</t>
  </si>
  <si>
    <t>Нижегородская область</t>
  </si>
  <si>
    <t>Оренбургская область</t>
  </si>
  <si>
    <t>Пензенская область</t>
  </si>
  <si>
    <t>Самарская область</t>
  </si>
  <si>
    <t>Саратовская область</t>
  </si>
  <si>
    <t>Ульяновская область</t>
  </si>
  <si>
    <t>Курганская область</t>
  </si>
  <si>
    <t>Свердловская область</t>
  </si>
  <si>
    <t>Челябинская область</t>
  </si>
  <si>
    <t>Республика Алтай</t>
  </si>
  <si>
    <t>Республика Тыва</t>
  </si>
  <si>
    <t>Республика Хакасия</t>
  </si>
  <si>
    <t>Алтайский край</t>
  </si>
  <si>
    <t>Красноярский край</t>
  </si>
  <si>
    <t>Иркутская область</t>
  </si>
  <si>
    <t>Новосибирская область</t>
  </si>
  <si>
    <t>Омская область</t>
  </si>
  <si>
    <t>Томская область</t>
  </si>
  <si>
    <t>Республика Бурятия</t>
  </si>
  <si>
    <t>Республика Саха (Якутия)</t>
  </si>
  <si>
    <t>Забайкальский край</t>
  </si>
  <si>
    <t>Камчатский край</t>
  </si>
  <si>
    <t>Приморский край</t>
  </si>
  <si>
    <t>Хабаровский край</t>
  </si>
  <si>
    <t>Амурская область</t>
  </si>
  <si>
    <t>Магаданская область</t>
  </si>
  <si>
    <t>Сахалинская область</t>
  </si>
  <si>
    <t>Московская область</t>
  </si>
  <si>
    <t>Кемеровская область - Кузбасс</t>
  </si>
  <si>
    <t>Еврейская автономная область</t>
  </si>
  <si>
    <t>Чукотский автономный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</si>
  <si>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</si>
  <si>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</si>
  <si>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</si>
  <si>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</si>
  <si>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</si>
  <si>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</si>
  <si>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</si>
  <si>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Республика Татарстан (Татарстан)</t>
  </si>
  <si>
    <t>Чувашская Республика - Чувашия</t>
  </si>
  <si>
    <t xml:space="preserve">Ненецкий автономный округ </t>
  </si>
  <si>
    <t xml:space="preserve">Республика Адыгея </t>
  </si>
  <si>
    <t xml:space="preserve">Ханты-Мансийский автономный округ - Югра </t>
  </si>
  <si>
    <t xml:space="preserve">Ямало-Ненецкий автономный округ </t>
  </si>
  <si>
    <t xml:space="preserve">Тюменская область </t>
  </si>
  <si>
    <t>№</t>
  </si>
  <si>
    <t>Код субъекта РФ</t>
  </si>
  <si>
    <t>01</t>
  </si>
  <si>
    <t>02</t>
  </si>
  <si>
    <t>03</t>
  </si>
  <si>
    <t>04</t>
  </si>
  <si>
    <t>05</t>
  </si>
  <si>
    <t>06</t>
  </si>
  <si>
    <t>07</t>
  </si>
  <si>
    <t>08</t>
  </si>
  <si>
    <t>09</t>
  </si>
  <si>
    <t>12</t>
  </si>
  <si>
    <t>13</t>
  </si>
  <si>
    <t>15</t>
  </si>
  <si>
    <t>16</t>
  </si>
  <si>
    <t>18</t>
  </si>
  <si>
    <t>20</t>
  </si>
  <si>
    <t>21</t>
  </si>
  <si>
    <t>26</t>
  </si>
  <si>
    <t>43</t>
  </si>
  <si>
    <t>45</t>
  </si>
  <si>
    <t>52</t>
  </si>
  <si>
    <t>56</t>
  </si>
  <si>
    <t>58</t>
  </si>
  <si>
    <t>59</t>
  </si>
  <si>
    <t>63</t>
  </si>
  <si>
    <t>64</t>
  </si>
  <si>
    <t>66</t>
  </si>
  <si>
    <t>72</t>
  </si>
  <si>
    <t>73</t>
  </si>
  <si>
    <t>74</t>
  </si>
  <si>
    <t>86</t>
  </si>
  <si>
    <t>89</t>
  </si>
  <si>
    <t>6х1  09:00-21:00</t>
  </si>
  <si>
    <t>Налог на прибыль (информационно)</t>
  </si>
  <si>
    <t>РФ</t>
  </si>
  <si>
    <t>Сети/Гипермаркеты</t>
  </si>
  <si>
    <t>Электрооборудование (пылесосы, пыле/водосос, экстракторы и т.п.) (1 амортизацонная группа)</t>
  </si>
  <si>
    <t>электрооборудование среднее - однодисковые роторные машины в различных навесных модификациях, высокоскоростные роторные машины, специализированные машины для чистки ковров, эскалаторов, траволаторов и проч. (2 группа)</t>
  </si>
  <si>
    <t>Срок амортизации (максимальный)</t>
  </si>
  <si>
    <t xml:space="preserve">  Зарплата, премии, компенсации, питание</t>
  </si>
  <si>
    <t>Правила заполнения</t>
  </si>
  <si>
    <t xml:space="preserve">Заполнению (редактированию) подлежат ячейки, отмеченные серым маркером. Остальные ячейки защищены от редактирования (в них не требуется вносить изменения и/или значения параметров в них рассчитываются автоматически). </t>
  </si>
  <si>
    <t>Штатное расписание во вкладке "Расчет ФОТ" подлежит заполнению в зависимости от обслуживаемого объекта и необходимого графика работы</t>
  </si>
  <si>
    <t>Справочная информация</t>
  </si>
  <si>
    <t>Адрес объекта (индекс, город (населенный пункт), улица, дом (корпус, строение), офис</t>
  </si>
  <si>
    <t xml:space="preserve">Расчет заработной платы в час во вкладке "Статистическая ЗП" производится из максимально возможных согласно ТК РФ 246 часов  среднемесячно при работе сотрудника  по основному договору и договору совместительства, формула расчета представлена в п.1                                                                                                                                                                </t>
  </si>
  <si>
    <t xml:space="preserve">Табелирование </t>
  </si>
  <si>
    <t>Итого ФОТ (с учетом районных коэффициентов, северных надбавок, праздничных, отпускных и больничных дней, НДФЛ и  страховых взносов)</t>
  </si>
  <si>
    <t>Оплата праздничных  дней</t>
  </si>
  <si>
    <t>Оплата отпускных дней</t>
  </si>
  <si>
    <t>Оплата питания</t>
  </si>
  <si>
    <t xml:space="preserve">Оплата больничных дней (3 дня)        </t>
  </si>
  <si>
    <t xml:space="preserve">Заработная плата, руб.   </t>
  </si>
  <si>
    <t>в месяц</t>
  </si>
  <si>
    <t>в смену</t>
  </si>
  <si>
    <t>в час.</t>
  </si>
  <si>
    <t xml:space="preserve">Заработная плата всех сотрудников </t>
  </si>
  <si>
    <t>Заработная плата 1 сотр. НЕТТО (на руки)</t>
  </si>
  <si>
    <t xml:space="preserve"> НЕТТО (на руки) в месяц</t>
  </si>
  <si>
    <t>руб. в час</t>
  </si>
  <si>
    <t>5х2  09:00-18:00</t>
  </si>
  <si>
    <t>руб. в месяц</t>
  </si>
  <si>
    <t>ООО "ПРИМЕР"</t>
  </si>
  <si>
    <t>Критерий коммерческого предприятия</t>
  </si>
  <si>
    <t>не МСП</t>
  </si>
  <si>
    <t>Категория персонала</t>
  </si>
  <si>
    <t>Уборка внутренних помещений</t>
  </si>
  <si>
    <t>Уборка внешней территории</t>
  </si>
  <si>
    <t>Расходные материалы (для уборки внешней территории)</t>
  </si>
  <si>
    <t>Спецодежда 3</t>
  </si>
  <si>
    <t>Спецодежда 4</t>
  </si>
  <si>
    <t>Некатегорийные затраты</t>
  </si>
  <si>
    <t>Незаполненная категория ФОТ</t>
  </si>
  <si>
    <t>Расходные материалы (прочие)</t>
  </si>
  <si>
    <t>Итого часов</t>
  </si>
  <si>
    <t>Должность</t>
  </si>
  <si>
    <t>Тележечник</t>
  </si>
  <si>
    <t>Категории персонала</t>
  </si>
  <si>
    <t>Наименование услуги</t>
  </si>
  <si>
    <t>Управление объектом</t>
  </si>
  <si>
    <t>Уборка внутренних помещений (ОПМ)</t>
  </si>
  <si>
    <t>Сбор тележек</t>
  </si>
  <si>
    <t>Уборка внешней территории с помощью трактора</t>
  </si>
  <si>
    <t>без НДС</t>
  </si>
  <si>
    <t>с НДС</t>
  </si>
  <si>
    <t>Уборка внутренних помещений (ОВУ)</t>
  </si>
  <si>
    <t>Уборка внешней территории (ОВнУ)</t>
  </si>
  <si>
    <t>Тариф, руб. в час</t>
  </si>
  <si>
    <t>Категория 7</t>
  </si>
  <si>
    <t>Категория 8</t>
  </si>
  <si>
    <t>Категория 9</t>
  </si>
  <si>
    <t>Категория 10</t>
  </si>
  <si>
    <t>Категория 11</t>
  </si>
  <si>
    <t>Категория 12</t>
  </si>
  <si>
    <t>Категория 13</t>
  </si>
  <si>
    <t>Категория 14</t>
  </si>
  <si>
    <t>Категория 15</t>
  </si>
  <si>
    <t>Итого выручка проекта среднемесячно, руб.</t>
  </si>
  <si>
    <t>Итого выручка проекта за весь период, руб.</t>
  </si>
  <si>
    <t>Итого (справочно) выручка проекта среднемесячно, руб.</t>
  </si>
  <si>
    <t>Иностранцы (патент)</t>
  </si>
  <si>
    <t>Гражданство</t>
  </si>
  <si>
    <t xml:space="preserve">Механизация ручная (снегоочиститель шнековый, снегоуборочная машина щеточного типа, травокосилка, газонокосилка и проч.) 2 аморт.группа </t>
  </si>
  <si>
    <t xml:space="preserve">Стоимость заемных средств </t>
  </si>
  <si>
    <t xml:space="preserve">Налоги на ФОТ </t>
  </si>
  <si>
    <t>Расчетная стоимость трудового ресурса</t>
  </si>
  <si>
    <t>Стоимость, руб./мес.</t>
  </si>
  <si>
    <t xml:space="preserve">Расчетная стоимость услуги </t>
  </si>
  <si>
    <t>Стоимость человеко-часа, руб.</t>
  </si>
  <si>
    <t>ФОТ</t>
  </si>
  <si>
    <t>Доля в выручке без НДС, %</t>
  </si>
  <si>
    <t>в час</t>
  </si>
  <si>
    <t>Распределяемые затраты, руб.</t>
  </si>
  <si>
    <t>чел-часы</t>
  </si>
  <si>
    <t>Стоимость в час, руб.</t>
  </si>
  <si>
    <t>Нераспределяемые затраты, руб.</t>
  </si>
  <si>
    <t>Итого Затраты в час, руб.</t>
  </si>
  <si>
    <t>Заработная плата 1 сотр. НЕТТО (на руки), руб.</t>
  </si>
  <si>
    <t>Кол-во часов</t>
  </si>
  <si>
    <t>Надбавки и взносы с ФОТ, руб./период договора</t>
  </si>
  <si>
    <t xml:space="preserve"> с НДФЛ (к начислению) за период договора</t>
  </si>
  <si>
    <t>НЕТТО (на руки) за период договора</t>
  </si>
  <si>
    <t>руб. за период договора</t>
  </si>
  <si>
    <t>Итого ФОТ (с учетом районных коэффициентов, северных надбавок, праздничных, отпускных и больничных дней, НДФЛ и  страховых взносов), руб./ период договора</t>
  </si>
  <si>
    <t>Тарификатор (стоимость услуг в час с разбивкой по видам услуг)</t>
  </si>
  <si>
    <t>Стоимость сопутствующих расходов*, руб./час</t>
  </si>
  <si>
    <t xml:space="preserve">*Сопутствующие расходы- все составляющие бюджета: расходные материалы, техника, накладные расходы, прибыль, и пр., кроме расходов, связанных с ФОТ </t>
  </si>
  <si>
    <t>**Стоимость, руб./период договора</t>
  </si>
  <si>
    <t>Надбавки, НДФЛ и взносы с ФОТ, руб./период договора</t>
  </si>
  <si>
    <t>г. Пример, ул. Пример, д. 8</t>
  </si>
  <si>
    <t>Инвентарь 4</t>
  </si>
  <si>
    <t>Инвентарь 5</t>
  </si>
  <si>
    <t>Инвентарь 6</t>
  </si>
  <si>
    <t>Инвентарь 7</t>
  </si>
  <si>
    <t>Инвентарь 8</t>
  </si>
  <si>
    <t>Спецодежда 5</t>
  </si>
  <si>
    <t>Спецодежда 6</t>
  </si>
  <si>
    <t>Спецодежда 7</t>
  </si>
  <si>
    <t>Спецодежда 8</t>
  </si>
  <si>
    <t xml:space="preserve"> Вкладка "Приложение к договору", в которой указываются расчетная стоимость услуги с разбивкой на статьи затрат и расчетная стоимость трудового ресурса, заполняется автоматически при заполнении вкладок "Калькуляция" и "Расчет ФОТ".</t>
  </si>
  <si>
    <t>Настоящая форма содержит вкладки - "Статистическая ЗП", "Калькуляция",  "Расчет ФОТ", "Тарификатор" и  «Приложение к договору» .  Листы "Калькуляция" и "Расчет ФОТ" являются обязательными для заполнения в полном объеме.</t>
  </si>
  <si>
    <t xml:space="preserve"> В разделе «Инвентарь» не допускается указывать инвентарь б/у и/или инвентарь с нулевой стоимостью. В Калькуляцию каждого проекта необходимо закладывать приобретение нового инвентаря по действующим на момент расчета ценам поставщиков.</t>
  </si>
  <si>
    <t>В разделе «Спецодежда» указанное количество комплектов спецодежды должно соответствовать планируемому количеству персонала и учитывать сезонность (зима/лето) и условия труда. Для контрактов продолжительностью более 1(одного) года необходимо учитывать ежегодное приобретение комплектов «летней» спецодежды для всех сотрудников, комплекты «зимней» спецодежды подлежат обновлению не реже, чем 1 раз в 2(два) года.</t>
  </si>
  <si>
    <t>В разделе «Расходы на СОУТ (новый объект),  по охране труда (ОТ) и промышленной безопасности (ПБ)» в обязательном порядке должны быть учтены соответствующие затраты на выполнение нормативов и требований в области охраны труда, пожарной и промышленной безопасности (в т.ч. медосмотры,  медкнижки, освидетельствование рабочих мест,  аттестации по электро- и пожарной безопасности и т.д.) по действующим на момент расчета расценкам поставщиков указанных услуг.</t>
  </si>
  <si>
    <t>В разделе «Эксплуатация и ремонт оборудования» указываются затраты на ремонт и обслуживание основных средств, а также затраты на приобретение расходных материалов (щетки, скребки, резинки и др.). Данные затраты должны ежегодно составлять не менее 5% от стоимости основного средства.</t>
  </si>
  <si>
    <t>Значение параметра "Накладные расходы" (строка 65) в калькуляции каждого участника должно быть не менее 8% от "Стоимости без НДС" для услуг по "Клинингу" и не менее 9% от "Стоимости без НДС" для услуг по "Технической эксплуатации". Данное значение отражается в столбце H и корректируется путем изменения "Коэффициента накладных расходов".</t>
  </si>
  <si>
    <t>Значение параметра "Вознаграждение" (строка 68) в калькуляции каждого участника должно быть не менее  3% от "Стоимости без НДС". Данное значение отражается в столбце H и корректируется путем изменения "Коэффициента расчета вознаграждения".</t>
  </si>
  <si>
    <t xml:space="preserve">Компании, работающие на УСН, считают прямые затраты до строки 69 "Налог на прибыль". Далее необходимо прибавлять сумму расчетного налога согласно внутренней системе упрощенного налогооблажения. </t>
  </si>
  <si>
    <t>Размер страховых взносов для граждан РФ и иностранных граждан составляет 30%, без учета страховых взносов от несчастных случаев, которые закладываются согласно таблице производственных рисков (от 0,2 до 8,5%). Применительно к клинингу страховые взносы в ФСС по несчастным случаям в среднем равны 0,5%.</t>
  </si>
  <si>
    <t>Взнос в единый фонд пенсионного и социального страхования</t>
  </si>
  <si>
    <t xml:space="preserve">Стандарт АКФО по заработной плате </t>
  </si>
  <si>
    <t>в час, руб.</t>
  </si>
  <si>
    <t xml:space="preserve">% отклонения стоимости ч/ч от стандарта АКФО по заработной плате </t>
  </si>
  <si>
    <t xml:space="preserve">Стандарт СРО АКФО по заработной плате </t>
  </si>
  <si>
    <t>Город/Регион РФ</t>
  </si>
  <si>
    <t xml:space="preserve">   Москва (+до 30 км МКАД)</t>
  </si>
  <si>
    <t>78</t>
  </si>
  <si>
    <t xml:space="preserve">   Санкт-Петербург</t>
  </si>
  <si>
    <t>29</t>
  </si>
  <si>
    <t xml:space="preserve">   Архангельск</t>
  </si>
  <si>
    <t xml:space="preserve">   Барнаул</t>
  </si>
  <si>
    <t>31</t>
  </si>
  <si>
    <t xml:space="preserve">   Белгород</t>
  </si>
  <si>
    <t>25</t>
  </si>
  <si>
    <t xml:space="preserve">   Владивосток</t>
  </si>
  <si>
    <t>34</t>
  </si>
  <si>
    <t xml:space="preserve">   Волгоград</t>
  </si>
  <si>
    <t>36</t>
  </si>
  <si>
    <t xml:space="preserve">   Воронеж</t>
  </si>
  <si>
    <t xml:space="preserve">   Екатеринбург</t>
  </si>
  <si>
    <t>37</t>
  </si>
  <si>
    <t xml:space="preserve">   Иваново</t>
  </si>
  <si>
    <t xml:space="preserve">   Иркутск</t>
  </si>
  <si>
    <t xml:space="preserve">   Казань</t>
  </si>
  <si>
    <t>39</t>
  </si>
  <si>
    <t xml:space="preserve">   Калининград</t>
  </si>
  <si>
    <t>40</t>
  </si>
  <si>
    <t xml:space="preserve">   Калуга</t>
  </si>
  <si>
    <t xml:space="preserve">   Кемерово</t>
  </si>
  <si>
    <t>44</t>
  </si>
  <si>
    <t xml:space="preserve">   Кострома</t>
  </si>
  <si>
    <t>23</t>
  </si>
  <si>
    <t xml:space="preserve">   Краснодар</t>
  </si>
  <si>
    <t xml:space="preserve">   Красноярск</t>
  </si>
  <si>
    <t>46</t>
  </si>
  <si>
    <t xml:space="preserve">   Курск</t>
  </si>
  <si>
    <t xml:space="preserve">   Липецк</t>
  </si>
  <si>
    <t xml:space="preserve">   Набережные Челны</t>
  </si>
  <si>
    <t xml:space="preserve">   Нижний Новгород </t>
  </si>
  <si>
    <t xml:space="preserve">   Новосибирск</t>
  </si>
  <si>
    <t xml:space="preserve">   Омск</t>
  </si>
  <si>
    <t xml:space="preserve">   Орел</t>
  </si>
  <si>
    <t xml:space="preserve">   Оренбург</t>
  </si>
  <si>
    <t xml:space="preserve">   Пенза</t>
  </si>
  <si>
    <t xml:space="preserve">   Пермь</t>
  </si>
  <si>
    <t xml:space="preserve">   Петрозаводск</t>
  </si>
  <si>
    <t xml:space="preserve">   Псков</t>
  </si>
  <si>
    <t xml:space="preserve">   Ростов-на-Дону</t>
  </si>
  <si>
    <t xml:space="preserve">   Рязань</t>
  </si>
  <si>
    <t xml:space="preserve">   Самара </t>
  </si>
  <si>
    <t xml:space="preserve">   Саранск </t>
  </si>
  <si>
    <t xml:space="preserve">   Саратов </t>
  </si>
  <si>
    <t xml:space="preserve">   Симферополь</t>
  </si>
  <si>
    <t xml:space="preserve">   Севастополь</t>
  </si>
  <si>
    <t xml:space="preserve">   Смоленск </t>
  </si>
  <si>
    <t xml:space="preserve">   Ставрополь </t>
  </si>
  <si>
    <t xml:space="preserve">   Сургут</t>
  </si>
  <si>
    <t xml:space="preserve">   Сочи</t>
  </si>
  <si>
    <t xml:space="preserve">   Тверь </t>
  </si>
  <si>
    <t xml:space="preserve">   Тольятти </t>
  </si>
  <si>
    <t>71</t>
  </si>
  <si>
    <t xml:space="preserve">   Тула</t>
  </si>
  <si>
    <t xml:space="preserve">   Тюмень </t>
  </si>
  <si>
    <t>27</t>
  </si>
  <si>
    <t xml:space="preserve">   Хабаровск </t>
  </si>
  <si>
    <t xml:space="preserve">   Челябинск </t>
  </si>
  <si>
    <t xml:space="preserve">   Череповец</t>
  </si>
  <si>
    <t xml:space="preserve">   Уфа</t>
  </si>
  <si>
    <t xml:space="preserve">   Ярославль</t>
  </si>
  <si>
    <t xml:space="preserve">Расчетная заработная плата персонала за 1 (один) час работы указана в стандарте СТО СРО  АКФО 2.02-2022 "Размер оплаты труда" в регионе/городе оказания услуг"  (столбец E) и должна соответствовать реальной заработной плате, выплачиваемой персоналу на объекте. 
Во вкладке "Расчет ФОТ" в столбце АА значение будет подкрашено красным, если расчетная заработная плата окажется ниже указанной в стандарте  СТО СРО  АКФО 2.02-2022 "Размер оплаты труда".                                                                                                       Максимальное количество отработанных сотрудником часов среднемесячно не должно превышать 246 рабочих часов.  </t>
  </si>
  <si>
    <t xml:space="preserve">При расчете стоимоти услуг по настоящему стандарту необходимо учитывать все требования заказчика, закрепленные в Техническом задании, в том числе по персоналу, оборудованию, графикам, периодичности уборки, количеству убираемых площадей и т.д. При этом запрещается:                                                                                                                 - закладывать в расчет стоимости услуг графики работы, превышающие 60 рабочих часов в неделю на одного сотрудника;                                                                                                                                                                                                            - исключать из расчетов надбавки персоналу за сверхурочные часы,  праздничные выходные дни и т.д.;                                                                                                                                                                                                                                               - применять льготы для субъектов МСП по страховым взносам;                                                                                                               - использовать профильных подрядчиков, не являющихся участниками Инфоресурса ФМ или находящихся в нем в Красной зоне;                                                                                                                                                                                                           - ставить нулевую амортизацию на оборудование вне зависимости от его износа;                                                                                - превышать нормы выработки персонала, оборудования указанные в стандарте СТО СРО АКФО 2.03-2019 Максимальные нормы производительности.                                                                                         </t>
  </si>
  <si>
    <t xml:space="preserve">Размер оплаты труда      </t>
  </si>
  <si>
    <t>77      Москва (+до 30 км МКАД)</t>
  </si>
  <si>
    <t>Согласно производственному календарю в 2024 году 1979 максимально возможных рабочих часов (при 40- часовой рабочей неделе) по одному трудовому договору (без переработок), т.е. 164,9 часа среднемесячно.                                                               
ТК РФ допускается работа по совместительству с продолжительностью рабочего времени, не превышающей половины месячной нормы рабочего времени, в 2024 году это 1979/2=989,5 часов. Таким образом, расчет максимально возможного количества рабочих часов в год по основному договору и договору совместительства выглядит следующим образом: 1979+0,5*1 979=2 968,5/12 месяцев=247,4 часов (среднемесячно). 
Согласно ТК РФ максимально возможное количество человеко-часов (3 150/ в год)  можно установить графиком работы персоналу 6/1-10 часов, это основной договор плюс договор совместительства. 
В случае установки графика работы, при котором количество человеко- часов по каждой специальности и каждому сотруднику превышает 3 150 часов в год, ячейка с итоговым количеством человеко- часов (столбец AA вкладки "Расчет ФОТ") окрашивается в красный цвет, если не превышает- в зеленый.</t>
  </si>
  <si>
    <t>Для расчета параметра "Стоимость заёмных средств" (строка 66) необходимо указать в соответствующей ячейке значение параметра "Ставка по кредиту" и "Количество дней отсрочки платежа" (30/60/90). Значение параметра "Ставка по кредиту" должно быть не менее 16% годовых.</t>
  </si>
  <si>
    <t xml:space="preserve">Расходы на обеспечение заявки для участия в тендере рассчитываются исходя из ставки 16% годовых. </t>
  </si>
  <si>
    <t xml:space="preserve">Стоимость человека-часа, руб. </t>
  </si>
  <si>
    <t>**Стоимость услуги за период договора= стоимость человеко-часа Х количество часов за период договора</t>
  </si>
  <si>
    <t>Стоимость услуг в человеко-часах отображается во вкладке "Тарификатор", и формируется из расходов на ФОТ и прочих статей затрат на услуги в соответствии с их наименованием в ячейках В30:45 во вкладке "Расчет ФОТ"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</si>
</sst>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_-;_-* &quot;-&quot;??_₽_-;_-@_-"/>
    <numFmt numFmtId="165" formatCode="_-* #,##0_₽_-;\-* #,##0_₽_-;_-* &quot;-&quot;??_₽_-;_-@_-"/>
    <numFmt numFmtId="166" formatCode="0.0%"/>
    <numFmt numFmtId="167" formatCode="_-* #,##0\ _₽_-;\-* #,##0\ _₽_-;_-* &quot;-&quot;??\ _₽_-;_-@_-"/>
  </numFmts>
  <fonts count="20" x14ac:knownFonts="1">
    <font>
      <sz val="11"/>
      <color theme="1"/>
      <name val="Calibri"/>
      <family val="2"/>
      <scheme val="minor"/>
    </font>
    <font>
      <sz val="11"/>
      <color theme="1"/>
      <name val="Calibri"/>
      <family val="2"/>
      <scheme val="minor"/>
    </font>
    <font>
      <sz val="9"/>
      <color indexed="81"/>
      <name val="Tahoma"/>
      <family val="2"/>
      <charset val="204"/>
    </font>
    <font>
      <sz val="12"/>
      <color theme="1"/>
      <name val="Times New Roman"/>
      <family val="1"/>
      <charset val="204"/>
    </font>
    <font>
      <b/>
      <sz val="12"/>
      <color theme="1"/>
      <name val="Times New Roman"/>
      <family val="1"/>
      <charset val="204"/>
    </font>
    <font>
      <sz val="12"/>
      <color rgb="FFFF0000"/>
      <name val="Times New Roman"/>
      <family val="1"/>
      <charset val="204"/>
    </font>
    <font>
      <sz val="12"/>
      <color rgb="FF333333"/>
      <name val="Times New Roman"/>
      <family val="1"/>
      <charset val="204"/>
    </font>
    <font>
      <sz val="12"/>
      <color rgb="FF2E2E2E"/>
      <name val="Times New Roman"/>
      <family val="1"/>
      <charset val="204"/>
    </font>
    <font>
      <sz val="12"/>
      <color theme="0"/>
      <name val="Times New Roman"/>
      <family val="1"/>
      <charset val="204"/>
    </font>
    <font>
      <sz val="12"/>
      <name val="Times New Roman"/>
      <family val="1"/>
      <charset val="204"/>
    </font>
    <font>
      <b/>
      <sz val="12"/>
      <name val="Times New Roman"/>
      <family val="1"/>
      <charset val="204"/>
    </font>
    <font>
      <b/>
      <sz val="12"/>
      <color rgb="FFFF0000"/>
      <name val="Times New Roman"/>
      <family val="1"/>
      <charset val="204"/>
    </font>
    <font>
      <b/>
      <sz val="14"/>
      <color rgb="FFC00000"/>
      <name val="Times New Roman"/>
      <family val="1"/>
      <charset val="204"/>
    </font>
    <font>
      <sz val="8"/>
      <name val="Calibri"/>
      <family val="2"/>
      <scheme val="minor"/>
    </font>
    <font>
      <sz val="11"/>
      <name val="Times New Roman"/>
      <family val="1"/>
      <charset val="204"/>
    </font>
    <font>
      <b/>
      <sz val="9"/>
      <color theme="1"/>
      <name val="Times New Roman"/>
      <family val="1"/>
      <charset val="204"/>
    </font>
    <font>
      <b/>
      <sz val="11"/>
      <color theme="1"/>
      <name val="Times New Roman"/>
      <family val="1"/>
      <charset val="204"/>
    </font>
    <font>
      <sz val="11"/>
      <color theme="1"/>
      <name val="Times New Roman"/>
      <family val="1"/>
      <charset val="204"/>
    </font>
    <font>
      <b/>
      <sz val="12"/>
      <color theme="0"/>
      <name val="Times New Roman"/>
      <family val="1"/>
      <charset val="204"/>
    </font>
    <font>
      <sz val="11"/>
      <name val="Tahoma"/>
      <family val="2"/>
      <charset val="204"/>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FF"/>
        <bgColor indexed="64"/>
      </patternFill>
    </fill>
  </fills>
  <borders count="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rgb="FFE7E7E7"/>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cellStyleXfs>
  <cellXfs count="410">
    <xf numFmtId="0" fontId="0" fillId="0" borderId="0" xfId="0"/>
    <xf numFmtId="0" fontId="3" fillId="0" borderId="0" xfId="0" applyFont="1"/>
    <xf numFmtId="0" fontId="4" fillId="0" borderId="0" xfId="0" applyFont="1"/>
    <xf numFmtId="0" fontId="3"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vertical="top" wrapText="1"/>
    </xf>
    <xf numFmtId="0" fontId="3" fillId="0" borderId="2" xfId="0" applyFont="1" applyBorder="1" applyAlignment="1">
      <alignment horizontal="center" vertical="center"/>
    </xf>
    <xf numFmtId="49" fontId="3" fillId="0" borderId="2" xfId="0" applyNumberFormat="1" applyFont="1" applyBorder="1" applyAlignment="1">
      <alignment horizontal="center" vertical="center"/>
    </xf>
    <xf numFmtId="0" fontId="3" fillId="0" borderId="11" xfId="0" applyFont="1" applyBorder="1" applyAlignment="1">
      <alignment horizontal="left" vertical="center" indent="1"/>
    </xf>
    <xf numFmtId="0" fontId="6" fillId="0" borderId="2" xfId="0" applyFont="1" applyBorder="1" applyAlignment="1">
      <alignment horizontal="center"/>
    </xf>
    <xf numFmtId="0" fontId="7" fillId="6" borderId="11" xfId="0" applyFont="1" applyFill="1" applyBorder="1" applyAlignment="1">
      <alignment horizontal="left" vertical="center" indent="1"/>
    </xf>
    <xf numFmtId="0" fontId="7" fillId="3" borderId="11" xfId="0" applyFont="1" applyFill="1" applyBorder="1" applyAlignment="1">
      <alignment horizontal="left" vertical="center" indent="1"/>
    </xf>
    <xf numFmtId="0" fontId="6" fillId="0" borderId="0" xfId="0" applyFont="1" applyAlignment="1">
      <alignment horizontal="center"/>
    </xf>
    <xf numFmtId="0" fontId="3" fillId="0" borderId="2" xfId="0" applyFont="1" applyBorder="1" applyAlignment="1">
      <alignment horizontal="center" vertical="center" wrapText="1"/>
    </xf>
    <xf numFmtId="0" fontId="3" fillId="3" borderId="11" xfId="0" applyFont="1" applyFill="1" applyBorder="1" applyAlignment="1">
      <alignment horizontal="left" vertical="center" indent="1"/>
    </xf>
    <xf numFmtId="0" fontId="3" fillId="0" borderId="39" xfId="0" applyFont="1" applyBorder="1" applyAlignment="1">
      <alignment horizontal="right" vertical="center" wrapText="1" indent="1"/>
    </xf>
    <xf numFmtId="3" fontId="3" fillId="0" borderId="39" xfId="0" applyNumberFormat="1" applyFont="1" applyBorder="1" applyAlignment="1">
      <alignment horizontal="right" vertical="center" wrapText="1" indent="1"/>
    </xf>
    <xf numFmtId="0" fontId="3" fillId="3" borderId="39" xfId="0" applyFont="1" applyFill="1" applyBorder="1" applyAlignment="1">
      <alignment horizontal="right" vertical="center" wrapText="1" indent="1"/>
    </xf>
    <xf numFmtId="0" fontId="7" fillId="6" borderId="39" xfId="0" applyFont="1" applyFill="1" applyBorder="1" applyAlignment="1">
      <alignment horizontal="right" vertical="center" wrapText="1" indent="1"/>
    </xf>
    <xf numFmtId="0" fontId="4" fillId="0" borderId="2" xfId="0" applyFont="1" applyBorder="1" applyAlignment="1">
      <alignment horizontal="left" vertical="top"/>
    </xf>
    <xf numFmtId="0" fontId="3" fillId="0" borderId="0" xfId="0" applyFont="1" applyAlignment="1">
      <alignment horizontal="center"/>
    </xf>
    <xf numFmtId="0" fontId="8" fillId="0" borderId="0" xfId="0" applyFont="1"/>
    <xf numFmtId="165" fontId="3" fillId="5" borderId="2" xfId="1" applyNumberFormat="1" applyFont="1" applyFill="1" applyBorder="1" applyProtection="1">
      <protection locked="0"/>
    </xf>
    <xf numFmtId="0" fontId="4" fillId="0" borderId="9" xfId="0" applyFont="1" applyBorder="1" applyAlignment="1">
      <alignment vertical="top"/>
    </xf>
    <xf numFmtId="0" fontId="4" fillId="0" borderId="1" xfId="0" applyFont="1" applyBorder="1" applyAlignment="1">
      <alignment vertical="top"/>
    </xf>
    <xf numFmtId="3" fontId="4" fillId="0" borderId="11" xfId="0" applyNumberFormat="1" applyFont="1" applyBorder="1" applyAlignment="1">
      <alignment vertical="top"/>
    </xf>
    <xf numFmtId="3" fontId="4" fillId="0" borderId="2" xfId="0" applyNumberFormat="1" applyFont="1" applyBorder="1" applyAlignment="1">
      <alignment horizontal="right" vertical="top"/>
    </xf>
    <xf numFmtId="3" fontId="4" fillId="0" borderId="1" xfId="0" applyNumberFormat="1" applyFont="1" applyBorder="1" applyAlignment="1">
      <alignment horizontal="right" vertical="top"/>
    </xf>
    <xf numFmtId="10" fontId="3" fillId="0" borderId="8" xfId="2" applyNumberFormat="1" applyFont="1" applyFill="1" applyBorder="1" applyAlignment="1" applyProtection="1">
      <alignment horizontal="right" vertical="top"/>
    </xf>
    <xf numFmtId="0" fontId="3" fillId="0" borderId="9" xfId="0" applyFont="1" applyBorder="1" applyAlignment="1">
      <alignment horizontal="left" vertical="top"/>
    </xf>
    <xf numFmtId="0" fontId="3" fillId="0" borderId="1" xfId="0" applyFont="1" applyBorder="1" applyAlignment="1">
      <alignment horizontal="left" vertical="top"/>
    </xf>
    <xf numFmtId="3" fontId="3" fillId="0" borderId="11" xfId="0" applyNumberFormat="1" applyFont="1" applyBorder="1" applyAlignment="1">
      <alignment vertical="top"/>
    </xf>
    <xf numFmtId="3" fontId="4" fillId="0" borderId="2" xfId="0" applyNumberFormat="1" applyFont="1" applyBorder="1" applyAlignment="1">
      <alignment vertical="top"/>
    </xf>
    <xf numFmtId="0" fontId="3" fillId="0" borderId="7" xfId="0" applyFont="1" applyBorder="1" applyAlignment="1">
      <alignment horizontal="left" vertical="top"/>
    </xf>
    <xf numFmtId="3" fontId="4" fillId="0" borderId="7" xfId="0" applyNumberFormat="1" applyFont="1" applyBorder="1" applyAlignment="1">
      <alignment vertical="top"/>
    </xf>
    <xf numFmtId="9" fontId="3" fillId="0" borderId="7" xfId="0" applyNumberFormat="1" applyFont="1" applyBorder="1" applyAlignment="1">
      <alignment horizontal="right" indent="1"/>
    </xf>
    <xf numFmtId="3" fontId="3" fillId="0" borderId="7" xfId="0" applyNumberFormat="1" applyFont="1" applyBorder="1"/>
    <xf numFmtId="166" fontId="3" fillId="0" borderId="7" xfId="2" applyNumberFormat="1" applyFont="1" applyFill="1" applyBorder="1" applyAlignment="1" applyProtection="1">
      <alignment horizontal="right" vertical="top"/>
    </xf>
    <xf numFmtId="0" fontId="3" fillId="0" borderId="15" xfId="0" applyFont="1" applyBorder="1" applyAlignment="1">
      <alignment horizontal="left" indent="1"/>
    </xf>
    <xf numFmtId="3" fontId="3" fillId="0" borderId="15" xfId="0" applyNumberFormat="1" applyFont="1" applyBorder="1"/>
    <xf numFmtId="3" fontId="3" fillId="0" borderId="14" xfId="0" applyNumberFormat="1" applyFont="1" applyBorder="1"/>
    <xf numFmtId="0" fontId="3" fillId="0" borderId="18" xfId="0" applyFont="1" applyBorder="1" applyAlignment="1">
      <alignment horizontal="center" vertical="center"/>
    </xf>
    <xf numFmtId="0" fontId="3" fillId="0" borderId="18" xfId="0" applyFont="1" applyBorder="1" applyAlignment="1">
      <alignment horizontal="center" vertical="center" wrapText="1"/>
    </xf>
    <xf numFmtId="0" fontId="3" fillId="5" borderId="7" xfId="0" applyFont="1" applyFill="1" applyBorder="1" applyProtection="1">
      <protection locked="0"/>
    </xf>
    <xf numFmtId="165" fontId="3" fillId="5" borderId="7" xfId="1" applyNumberFormat="1" applyFont="1" applyFill="1" applyBorder="1" applyProtection="1">
      <protection locked="0"/>
    </xf>
    <xf numFmtId="3" fontId="3" fillId="0" borderId="0" xfId="0" applyNumberFormat="1" applyFont="1"/>
    <xf numFmtId="3" fontId="3" fillId="3" borderId="15" xfId="0" applyNumberFormat="1" applyFont="1" applyFill="1" applyBorder="1"/>
    <xf numFmtId="166" fontId="3" fillId="0" borderId="14" xfId="2" applyNumberFormat="1" applyFont="1" applyFill="1" applyBorder="1" applyAlignment="1" applyProtection="1">
      <alignment horizontal="right" vertical="top"/>
    </xf>
    <xf numFmtId="0" fontId="4" fillId="0" borderId="23" xfId="0" applyFont="1" applyBorder="1" applyAlignment="1">
      <alignment horizontal="left"/>
    </xf>
    <xf numFmtId="3" fontId="3" fillId="3" borderId="16" xfId="0" applyNumberFormat="1" applyFont="1" applyFill="1" applyBorder="1"/>
    <xf numFmtId="3" fontId="4" fillId="0" borderId="17" xfId="0" applyNumberFormat="1" applyFont="1" applyBorder="1" applyAlignment="1">
      <alignment horizontal="right" vertical="top"/>
    </xf>
    <xf numFmtId="3" fontId="4" fillId="0" borderId="16" xfId="0" applyNumberFormat="1" applyFont="1" applyBorder="1" applyAlignment="1">
      <alignment horizontal="right" vertical="top"/>
    </xf>
    <xf numFmtId="10" fontId="3" fillId="0" borderId="18" xfId="2" applyNumberFormat="1" applyFont="1" applyFill="1" applyBorder="1" applyAlignment="1" applyProtection="1">
      <alignment horizontal="right" vertical="top"/>
    </xf>
    <xf numFmtId="0" fontId="3" fillId="0" borderId="24" xfId="0" applyFont="1" applyBorder="1" applyProtection="1">
      <protection locked="0"/>
    </xf>
    <xf numFmtId="0" fontId="3" fillId="5" borderId="25" xfId="0" applyFont="1" applyFill="1" applyBorder="1" applyAlignment="1" applyProtection="1">
      <alignment horizontal="right"/>
      <protection locked="0"/>
    </xf>
    <xf numFmtId="3" fontId="3" fillId="3" borderId="0" xfId="0" applyNumberFormat="1" applyFont="1" applyFill="1"/>
    <xf numFmtId="0" fontId="3" fillId="0" borderId="26" xfId="0" applyFont="1" applyBorder="1" applyProtection="1">
      <protection locked="0"/>
    </xf>
    <xf numFmtId="0" fontId="3" fillId="5" borderId="27" xfId="0" applyFont="1" applyFill="1" applyBorder="1" applyAlignment="1" applyProtection="1">
      <alignment horizontal="right"/>
      <protection locked="0"/>
    </xf>
    <xf numFmtId="0" fontId="3" fillId="5" borderId="14" xfId="0" applyFont="1" applyFill="1" applyBorder="1" applyProtection="1">
      <protection locked="0"/>
    </xf>
    <xf numFmtId="165" fontId="3" fillId="5" borderId="14" xfId="1" applyNumberFormat="1" applyFont="1" applyFill="1" applyBorder="1" applyProtection="1">
      <protection locked="0"/>
    </xf>
    <xf numFmtId="0" fontId="3" fillId="0" borderId="28" xfId="0" applyFont="1" applyBorder="1" applyProtection="1">
      <protection locked="0"/>
    </xf>
    <xf numFmtId="3" fontId="4" fillId="0" borderId="18" xfId="0" applyNumberFormat="1" applyFont="1" applyBorder="1" applyAlignment="1">
      <alignment horizontal="right" vertical="top"/>
    </xf>
    <xf numFmtId="0" fontId="3" fillId="0" borderId="18" xfId="0" applyFont="1" applyBorder="1"/>
    <xf numFmtId="3" fontId="4" fillId="0" borderId="29" xfId="0" applyNumberFormat="1" applyFont="1" applyBorder="1" applyAlignment="1">
      <alignment horizontal="right" vertical="top"/>
    </xf>
    <xf numFmtId="3" fontId="4" fillId="0" borderId="7" xfId="0" applyNumberFormat="1" applyFont="1" applyBorder="1" applyAlignment="1">
      <alignment horizontal="right" vertical="top"/>
    </xf>
    <xf numFmtId="3" fontId="4" fillId="0" borderId="3" xfId="0" applyNumberFormat="1" applyFont="1" applyBorder="1" applyAlignment="1">
      <alignment horizontal="right" vertical="top"/>
    </xf>
    <xf numFmtId="0" fontId="3" fillId="5" borderId="31" xfId="0" applyFont="1" applyFill="1" applyBorder="1" applyAlignment="1" applyProtection="1">
      <alignment horizontal="right" wrapText="1"/>
      <protection locked="0"/>
    </xf>
    <xf numFmtId="0" fontId="3" fillId="5" borderId="2" xfId="0" applyFont="1" applyFill="1" applyBorder="1" applyProtection="1">
      <protection locked="0"/>
    </xf>
    <xf numFmtId="3" fontId="3" fillId="0" borderId="3" xfId="0" applyNumberFormat="1" applyFont="1" applyBorder="1"/>
    <xf numFmtId="10" fontId="3" fillId="0" borderId="17" xfId="2" applyNumberFormat="1" applyFont="1" applyFill="1" applyBorder="1" applyAlignment="1" applyProtection="1">
      <alignment horizontal="right" vertical="top"/>
    </xf>
    <xf numFmtId="165" fontId="3" fillId="0" borderId="2" xfId="1" applyNumberFormat="1" applyFont="1" applyFill="1" applyBorder="1" applyProtection="1"/>
    <xf numFmtId="3" fontId="4" fillId="5" borderId="1" xfId="0" applyNumberFormat="1" applyFont="1" applyFill="1" applyBorder="1" applyAlignment="1" applyProtection="1">
      <alignment vertical="top"/>
      <protection locked="0"/>
    </xf>
    <xf numFmtId="10" fontId="3" fillId="0" borderId="2" xfId="2" applyNumberFormat="1" applyFont="1" applyFill="1" applyBorder="1" applyAlignment="1" applyProtection="1">
      <alignment horizontal="right" vertical="top"/>
    </xf>
    <xf numFmtId="165" fontId="3" fillId="0" borderId="6" xfId="1" applyNumberFormat="1" applyFont="1" applyFill="1" applyBorder="1" applyProtection="1"/>
    <xf numFmtId="3" fontId="4" fillId="0" borderId="6" xfId="0" applyNumberFormat="1" applyFont="1" applyBorder="1" applyAlignment="1">
      <alignment vertical="top"/>
    </xf>
    <xf numFmtId="3" fontId="4" fillId="5" borderId="19" xfId="0" applyNumberFormat="1" applyFont="1" applyFill="1" applyBorder="1" applyAlignment="1" applyProtection="1">
      <alignment vertical="top"/>
      <protection locked="0"/>
    </xf>
    <xf numFmtId="165" fontId="3" fillId="5" borderId="12" xfId="1" applyNumberFormat="1" applyFont="1" applyFill="1" applyBorder="1" applyProtection="1">
      <protection locked="0"/>
    </xf>
    <xf numFmtId="3" fontId="4" fillId="0" borderId="12" xfId="0" applyNumberFormat="1" applyFont="1" applyBorder="1" applyAlignment="1">
      <alignment vertical="top"/>
    </xf>
    <xf numFmtId="10" fontId="3" fillId="0" borderId="12" xfId="2" applyNumberFormat="1" applyFont="1" applyFill="1" applyBorder="1" applyAlignment="1" applyProtection="1">
      <alignment horizontal="right" vertical="top"/>
    </xf>
    <xf numFmtId="10" fontId="3" fillId="0" borderId="7" xfId="2" applyNumberFormat="1" applyFont="1" applyFill="1" applyBorder="1" applyAlignment="1" applyProtection="1">
      <alignment horizontal="right" vertical="top"/>
    </xf>
    <xf numFmtId="0" fontId="3" fillId="0" borderId="37" xfId="0" applyFont="1" applyBorder="1" applyAlignment="1">
      <alignment horizontal="left" vertical="top" wrapText="1"/>
    </xf>
    <xf numFmtId="166" fontId="3" fillId="5" borderId="35" xfId="0" applyNumberFormat="1" applyFont="1" applyFill="1" applyBorder="1" applyAlignment="1" applyProtection="1">
      <alignment horizontal="center" vertical="top"/>
      <protection locked="0"/>
    </xf>
    <xf numFmtId="0" fontId="3" fillId="0" borderId="38" xfId="0" applyFont="1" applyBorder="1" applyAlignment="1">
      <alignment horizontal="left" vertical="top" wrapText="1"/>
    </xf>
    <xf numFmtId="3" fontId="4" fillId="0" borderId="9" xfId="0" applyNumberFormat="1" applyFont="1" applyBorder="1" applyAlignment="1">
      <alignment vertical="top"/>
    </xf>
    <xf numFmtId="3" fontId="3" fillId="0" borderId="2" xfId="0" applyNumberFormat="1" applyFont="1" applyBorder="1" applyAlignment="1">
      <alignment vertical="top"/>
    </xf>
    <xf numFmtId="10" fontId="3" fillId="5" borderId="35" xfId="0" applyNumberFormat="1" applyFont="1" applyFill="1" applyBorder="1" applyAlignment="1" applyProtection="1">
      <alignment horizontal="center" vertical="top"/>
      <protection locked="0"/>
    </xf>
    <xf numFmtId="0" fontId="4" fillId="5" borderId="36" xfId="0" applyFont="1" applyFill="1" applyBorder="1" applyAlignment="1" applyProtection="1">
      <alignment horizontal="center" vertical="top"/>
      <protection locked="0"/>
    </xf>
    <xf numFmtId="3" fontId="4" fillId="0" borderId="34" xfId="0" applyNumberFormat="1" applyFont="1" applyBorder="1" applyAlignment="1">
      <alignment vertical="top"/>
    </xf>
    <xf numFmtId="3" fontId="3" fillId="0" borderId="13" xfId="0" applyNumberFormat="1" applyFont="1" applyBorder="1" applyAlignment="1">
      <alignment vertical="top"/>
    </xf>
    <xf numFmtId="10" fontId="3" fillId="0" borderId="0" xfId="0" applyNumberFormat="1" applyFont="1"/>
    <xf numFmtId="165" fontId="3" fillId="0" borderId="2" xfId="1" applyNumberFormat="1" applyFont="1" applyBorder="1" applyProtection="1"/>
    <xf numFmtId="165" fontId="3" fillId="0" borderId="0" xfId="0" applyNumberFormat="1" applyFont="1"/>
    <xf numFmtId="10" fontId="3" fillId="0" borderId="0" xfId="2" applyNumberFormat="1" applyFont="1" applyProtection="1"/>
    <xf numFmtId="167" fontId="3" fillId="0" borderId="0" xfId="0" applyNumberFormat="1" applyFont="1"/>
    <xf numFmtId="165" fontId="4" fillId="0" borderId="2" xfId="0" applyNumberFormat="1" applyFont="1" applyBorder="1" applyAlignment="1">
      <alignment horizontal="center" vertical="center"/>
    </xf>
    <xf numFmtId="0" fontId="3" fillId="5" borderId="2" xfId="0" applyFont="1" applyFill="1" applyBorder="1" applyAlignment="1" applyProtection="1">
      <alignment horizontal="center" vertical="center" wrapText="1"/>
      <protection locked="0"/>
    </xf>
    <xf numFmtId="165" fontId="4" fillId="0" borderId="31" xfId="0" applyNumberFormat="1" applyFont="1" applyBorder="1" applyAlignment="1">
      <alignment horizontal="center" vertical="center"/>
    </xf>
    <xf numFmtId="165" fontId="4" fillId="0" borderId="43" xfId="0" applyNumberFormat="1" applyFont="1" applyBorder="1" applyAlignment="1">
      <alignment horizontal="center" vertical="center"/>
    </xf>
    <xf numFmtId="165" fontId="11" fillId="0" borderId="9" xfId="0" applyNumberFormat="1" applyFont="1" applyBorder="1" applyAlignment="1">
      <alignment horizontal="center" vertical="center"/>
    </xf>
    <xf numFmtId="0" fontId="3" fillId="5" borderId="2" xfId="0" applyFont="1" applyFill="1" applyBorder="1" applyAlignment="1" applyProtection="1">
      <alignment horizontal="center" vertical="center"/>
      <protection locked="0"/>
    </xf>
    <xf numFmtId="0" fontId="3" fillId="5" borderId="47" xfId="0" applyFont="1" applyFill="1" applyBorder="1" applyAlignment="1" applyProtection="1">
      <alignment horizontal="right" vertical="center"/>
      <protection locked="0"/>
    </xf>
    <xf numFmtId="165" fontId="3" fillId="5" borderId="2" xfId="1" applyNumberFormat="1"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10" fontId="3" fillId="0" borderId="2" xfId="0" applyNumberFormat="1"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11" fillId="0" borderId="2" xfId="0" applyFont="1" applyBorder="1" applyAlignment="1">
      <alignment horizontal="center" vertical="center"/>
    </xf>
    <xf numFmtId="3" fontId="4" fillId="0" borderId="2" xfId="0" applyNumberFormat="1" applyFont="1" applyBorder="1" applyAlignment="1">
      <alignment horizontal="center" vertical="center"/>
    </xf>
    <xf numFmtId="3" fontId="4" fillId="0" borderId="43" xfId="0" applyNumberFormat="1" applyFont="1" applyBorder="1" applyAlignment="1">
      <alignment horizontal="center" vertical="center"/>
    </xf>
    <xf numFmtId="0" fontId="4" fillId="0" borderId="9" xfId="0" applyFont="1" applyBorder="1" applyAlignment="1">
      <alignment horizontal="center" vertical="center"/>
    </xf>
    <xf numFmtId="0" fontId="12" fillId="0" borderId="2" xfId="0" applyFont="1" applyBorder="1" applyAlignment="1">
      <alignment horizontal="center" vertical="center"/>
    </xf>
    <xf numFmtId="3" fontId="4" fillId="0" borderId="31" xfId="0" applyNumberFormat="1" applyFont="1" applyBorder="1" applyAlignment="1">
      <alignment horizontal="center" vertical="center"/>
    </xf>
    <xf numFmtId="166" fontId="3" fillId="0" borderId="2" xfId="2" applyNumberFormat="1" applyFont="1" applyBorder="1" applyAlignment="1" applyProtection="1">
      <alignment horizontal="center" vertical="center"/>
    </xf>
    <xf numFmtId="0" fontId="3" fillId="5" borderId="31"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165" fontId="3" fillId="3" borderId="2" xfId="1" applyNumberFormat="1" applyFont="1" applyFill="1" applyBorder="1" applyAlignment="1" applyProtection="1">
      <alignment horizontal="center" vertical="center"/>
    </xf>
    <xf numFmtId="165" fontId="4" fillId="3" borderId="2" xfId="1" applyNumberFormat="1" applyFont="1" applyFill="1" applyBorder="1" applyAlignment="1" applyProtection="1">
      <alignment horizontal="center" vertical="center"/>
    </xf>
    <xf numFmtId="165" fontId="4" fillId="3" borderId="43" xfId="1" applyNumberFormat="1" applyFont="1" applyFill="1" applyBorder="1" applyAlignment="1" applyProtection="1">
      <alignment horizontal="center" vertical="center"/>
    </xf>
    <xf numFmtId="165" fontId="4" fillId="3" borderId="31" xfId="1" applyNumberFormat="1" applyFont="1" applyFill="1" applyBorder="1" applyAlignment="1" applyProtection="1">
      <alignment horizontal="center" vertical="center"/>
    </xf>
    <xf numFmtId="165" fontId="3" fillId="3" borderId="31" xfId="1" applyNumberFormat="1" applyFont="1" applyFill="1" applyBorder="1" applyAlignment="1" applyProtection="1">
      <alignment horizontal="center" vertical="center"/>
    </xf>
    <xf numFmtId="165" fontId="3" fillId="3" borderId="43" xfId="1" applyNumberFormat="1" applyFont="1" applyFill="1" applyBorder="1" applyAlignment="1" applyProtection="1">
      <alignment horizontal="center" vertical="center"/>
    </xf>
    <xf numFmtId="165" fontId="5" fillId="3" borderId="9" xfId="1" applyNumberFormat="1" applyFont="1" applyFill="1" applyBorder="1" applyAlignment="1" applyProtection="1">
      <alignment horizontal="center" vertical="center"/>
    </xf>
    <xf numFmtId="0" fontId="3" fillId="5" borderId="31" xfId="0" applyFont="1" applyFill="1" applyBorder="1" applyAlignment="1" applyProtection="1">
      <alignment horizontal="center" vertical="center" wrapText="1"/>
      <protection locked="0"/>
    </xf>
    <xf numFmtId="3" fontId="3" fillId="0" borderId="2" xfId="0" applyNumberFormat="1" applyFont="1" applyBorder="1" applyAlignment="1">
      <alignment horizontal="center" vertical="center"/>
    </xf>
    <xf numFmtId="165" fontId="3" fillId="5" borderId="2" xfId="5" applyNumberFormat="1" applyFont="1" applyFill="1" applyBorder="1" applyAlignment="1" applyProtection="1">
      <alignment horizontal="center" vertical="center"/>
      <protection locked="0"/>
    </xf>
    <xf numFmtId="165" fontId="3" fillId="5" borderId="9" xfId="5" applyNumberFormat="1" applyFont="1" applyFill="1" applyBorder="1" applyAlignment="1" applyProtection="1">
      <alignment horizontal="center" vertical="center"/>
      <protection locked="0"/>
    </xf>
    <xf numFmtId="165" fontId="3" fillId="5" borderId="31" xfId="5" applyNumberFormat="1" applyFont="1" applyFill="1" applyBorder="1" applyAlignment="1" applyProtection="1">
      <alignment horizontal="center" vertical="center"/>
      <protection locked="0"/>
    </xf>
    <xf numFmtId="164" fontId="3" fillId="3" borderId="43" xfId="1" applyFont="1" applyFill="1" applyBorder="1" applyAlignment="1" applyProtection="1">
      <alignment horizontal="center" vertical="center"/>
    </xf>
    <xf numFmtId="165" fontId="3" fillId="5" borderId="9" xfId="1" applyNumberFormat="1" applyFont="1" applyFill="1" applyBorder="1" applyAlignment="1" applyProtection="1">
      <alignment horizontal="center" vertical="center"/>
      <protection locked="0"/>
    </xf>
    <xf numFmtId="0" fontId="3" fillId="5" borderId="44" xfId="0" applyFont="1" applyFill="1" applyBorder="1" applyAlignment="1" applyProtection="1">
      <alignment horizontal="center" vertical="center"/>
      <protection locked="0"/>
    </xf>
    <xf numFmtId="165" fontId="3" fillId="5" borderId="12" xfId="1" applyNumberFormat="1" applyFont="1" applyFill="1" applyBorder="1" applyAlignment="1" applyProtection="1">
      <alignment horizontal="center" vertical="center"/>
      <protection locked="0"/>
    </xf>
    <xf numFmtId="165" fontId="3" fillId="5" borderId="34" xfId="5" applyNumberFormat="1" applyFont="1" applyFill="1" applyBorder="1" applyAlignment="1" applyProtection="1">
      <alignment horizontal="center" vertical="center"/>
      <protection locked="0"/>
    </xf>
    <xf numFmtId="165" fontId="3" fillId="3" borderId="12" xfId="1" applyNumberFormat="1" applyFont="1" applyFill="1" applyBorder="1" applyAlignment="1" applyProtection="1">
      <alignment horizontal="center" vertical="center"/>
    </xf>
    <xf numFmtId="165" fontId="3" fillId="3" borderId="45" xfId="1" applyNumberFormat="1" applyFont="1" applyFill="1" applyBorder="1" applyAlignment="1" applyProtection="1">
      <alignment horizontal="center" vertical="center"/>
    </xf>
    <xf numFmtId="165" fontId="3" fillId="5" borderId="44" xfId="5" applyNumberFormat="1" applyFont="1" applyFill="1" applyBorder="1" applyAlignment="1" applyProtection="1">
      <alignment horizontal="center" vertical="center"/>
      <protection locked="0"/>
    </xf>
    <xf numFmtId="165" fontId="3" fillId="5" borderId="12" xfId="5" applyNumberFormat="1" applyFont="1" applyFill="1" applyBorder="1" applyAlignment="1" applyProtection="1">
      <alignment horizontal="center" vertical="center"/>
      <protection locked="0"/>
    </xf>
    <xf numFmtId="165" fontId="3" fillId="3" borderId="44" xfId="1" applyNumberFormat="1" applyFont="1" applyFill="1" applyBorder="1" applyAlignment="1" applyProtection="1">
      <alignment horizontal="center" vertical="center"/>
    </xf>
    <xf numFmtId="164" fontId="3" fillId="3" borderId="45" xfId="1" applyFont="1" applyFill="1" applyBorder="1" applyAlignment="1" applyProtection="1">
      <alignment horizontal="center" vertical="center"/>
    </xf>
    <xf numFmtId="0" fontId="3" fillId="0" borderId="0" xfId="0" applyFont="1" applyAlignment="1">
      <alignment horizontal="right" vertical="center"/>
    </xf>
    <xf numFmtId="0" fontId="4" fillId="0" borderId="47" xfId="0" applyFont="1" applyBorder="1" applyAlignment="1">
      <alignment horizontal="right" vertical="center"/>
    </xf>
    <xf numFmtId="0" fontId="3" fillId="3" borderId="47" xfId="0" applyFont="1" applyFill="1" applyBorder="1" applyAlignment="1">
      <alignment horizontal="right" vertical="center"/>
    </xf>
    <xf numFmtId="164" fontId="9" fillId="0" borderId="9" xfId="0" applyNumberFormat="1" applyFont="1" applyBorder="1" applyAlignment="1">
      <alignment horizontal="center" vertical="center"/>
    </xf>
    <xf numFmtId="165" fontId="11" fillId="0" borderId="43" xfId="0" applyNumberFormat="1" applyFont="1" applyBorder="1" applyAlignment="1">
      <alignment horizontal="center" vertical="center"/>
    </xf>
    <xf numFmtId="165" fontId="5" fillId="3" borderId="43" xfId="1" applyNumberFormat="1" applyFont="1" applyFill="1" applyBorder="1" applyAlignment="1" applyProtection="1">
      <alignment horizontal="center" vertical="center"/>
    </xf>
    <xf numFmtId="9" fontId="5" fillId="0" borderId="43" xfId="2" applyFont="1" applyBorder="1" applyAlignment="1" applyProtection="1">
      <alignment horizontal="center" vertical="center"/>
    </xf>
    <xf numFmtId="0" fontId="3"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left" vertical="center"/>
      <protection locked="0"/>
    </xf>
    <xf numFmtId="0" fontId="3" fillId="5" borderId="34" xfId="0" applyFont="1" applyFill="1" applyBorder="1" applyAlignment="1" applyProtection="1">
      <alignment horizontal="left" vertical="center"/>
      <protection locked="0"/>
    </xf>
    <xf numFmtId="0" fontId="3" fillId="0" borderId="0" xfId="0" applyFont="1" applyAlignment="1">
      <alignment horizontal="left" vertical="top"/>
    </xf>
    <xf numFmtId="9" fontId="3" fillId="0" borderId="0" xfId="0" applyNumberFormat="1" applyFont="1" applyAlignment="1">
      <alignment horizontal="right" indent="1"/>
    </xf>
    <xf numFmtId="0" fontId="3" fillId="0" borderId="57" xfId="0" applyFont="1" applyBorder="1" applyAlignment="1">
      <alignment horizontal="left" vertical="top" wrapText="1"/>
    </xf>
    <xf numFmtId="165" fontId="3" fillId="0" borderId="0" xfId="1" applyNumberFormat="1" applyFont="1" applyAlignment="1" applyProtection="1">
      <alignment horizontal="center" vertical="center"/>
    </xf>
    <xf numFmtId="0" fontId="3" fillId="0" borderId="2" xfId="0" applyFont="1" applyBorder="1" applyAlignment="1">
      <alignment horizontal="right" vertical="center"/>
    </xf>
    <xf numFmtId="165" fontId="3" fillId="0" borderId="2" xfId="1" applyNumberFormat="1" applyFont="1" applyBorder="1" applyAlignment="1" applyProtection="1">
      <alignment horizontal="center" vertical="center"/>
    </xf>
    <xf numFmtId="165" fontId="3" fillId="0" borderId="2" xfId="0" applyNumberFormat="1" applyFont="1" applyBorder="1" applyAlignment="1">
      <alignment horizontal="center" vertical="center"/>
    </xf>
    <xf numFmtId="0" fontId="3" fillId="0" borderId="2" xfId="0" applyFont="1" applyBorder="1" applyAlignment="1">
      <alignment horizontal="left" vertical="center"/>
    </xf>
    <xf numFmtId="0" fontId="3" fillId="5" borderId="2" xfId="0" applyFont="1" applyFill="1" applyBorder="1" applyAlignment="1" applyProtection="1">
      <alignment horizontal="left" vertical="center"/>
      <protection locked="0"/>
    </xf>
    <xf numFmtId="0" fontId="3" fillId="5" borderId="58" xfId="0" applyFont="1" applyFill="1" applyBorder="1" applyAlignment="1" applyProtection="1">
      <alignment horizontal="right" vertical="center"/>
      <protection locked="0"/>
    </xf>
    <xf numFmtId="165" fontId="3" fillId="3" borderId="2" xfId="1" applyNumberFormat="1" applyFont="1" applyFill="1" applyBorder="1" applyAlignment="1" applyProtection="1">
      <alignment horizontal="left" vertical="center"/>
    </xf>
    <xf numFmtId="164" fontId="3" fillId="3" borderId="2" xfId="1" applyFont="1" applyFill="1" applyBorder="1" applyAlignment="1" applyProtection="1">
      <alignment horizontal="center" vertical="center"/>
    </xf>
    <xf numFmtId="165" fontId="3" fillId="3" borderId="31" xfId="1" applyNumberFormat="1" applyFont="1" applyFill="1" applyBorder="1" applyAlignment="1" applyProtection="1">
      <alignment horizontal="left" vertical="center"/>
    </xf>
    <xf numFmtId="165" fontId="3" fillId="3" borderId="44" xfId="1" applyNumberFormat="1" applyFont="1" applyFill="1" applyBorder="1" applyAlignment="1" applyProtection="1">
      <alignment horizontal="left" vertical="center"/>
    </xf>
    <xf numFmtId="165" fontId="3" fillId="3" borderId="12" xfId="1" applyNumberFormat="1" applyFont="1" applyFill="1" applyBorder="1" applyAlignment="1" applyProtection="1">
      <alignment horizontal="left" vertical="center"/>
    </xf>
    <xf numFmtId="164" fontId="3" fillId="3" borderId="12" xfId="1" applyFont="1" applyFill="1" applyBorder="1" applyAlignment="1" applyProtection="1">
      <alignment horizontal="center" vertical="center"/>
    </xf>
    <xf numFmtId="165" fontId="4" fillId="3" borderId="20" xfId="1" applyNumberFormat="1" applyFont="1" applyFill="1" applyBorder="1" applyAlignment="1" applyProtection="1">
      <alignment horizontal="center" vertical="center"/>
    </xf>
    <xf numFmtId="165" fontId="4" fillId="3" borderId="21" xfId="1" applyNumberFormat="1" applyFont="1" applyFill="1" applyBorder="1" applyAlignment="1" applyProtection="1">
      <alignment horizontal="center" vertical="center"/>
    </xf>
    <xf numFmtId="165" fontId="4" fillId="3" borderId="22" xfId="1" applyNumberFormat="1" applyFont="1" applyFill="1" applyBorder="1" applyAlignment="1" applyProtection="1">
      <alignment horizontal="center" vertical="center"/>
    </xf>
    <xf numFmtId="165" fontId="4" fillId="3" borderId="2" xfId="1" applyNumberFormat="1" applyFont="1" applyFill="1" applyBorder="1" applyAlignment="1" applyProtection="1">
      <alignment horizontal="center" vertical="center" wrapText="1"/>
    </xf>
    <xf numFmtId="0" fontId="3" fillId="0" borderId="0" xfId="0" applyFont="1" applyAlignment="1">
      <alignment horizontal="left" vertical="center"/>
    </xf>
    <xf numFmtId="165" fontId="3" fillId="0" borderId="0" xfId="0" applyNumberFormat="1" applyFont="1" applyAlignment="1">
      <alignment horizontal="center" vertical="center"/>
    </xf>
    <xf numFmtId="0" fontId="3" fillId="0" borderId="0" xfId="0" applyFont="1" applyAlignment="1">
      <alignment wrapText="1"/>
    </xf>
    <xf numFmtId="0" fontId="16" fillId="0" borderId="0" xfId="0" applyFont="1" applyAlignment="1">
      <alignment horizontal="left" vertical="center"/>
    </xf>
    <xf numFmtId="0" fontId="17" fillId="0" borderId="0" xfId="0" applyFont="1"/>
    <xf numFmtId="0" fontId="16" fillId="0" borderId="0" xfId="0" applyFont="1"/>
    <xf numFmtId="0" fontId="17" fillId="0" borderId="0" xfId="0" applyFont="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43" xfId="0" applyFont="1" applyBorder="1" applyAlignment="1">
      <alignment horizontal="center" vertical="center"/>
    </xf>
    <xf numFmtId="0" fontId="17" fillId="0" borderId="31" xfId="0" applyFont="1" applyBorder="1"/>
    <xf numFmtId="0" fontId="17" fillId="0" borderId="44" xfId="0" applyFont="1" applyBorder="1"/>
    <xf numFmtId="0" fontId="17" fillId="0" borderId="12" xfId="0" applyFont="1" applyBorder="1"/>
    <xf numFmtId="0" fontId="16" fillId="0" borderId="55" xfId="0" applyFont="1" applyBorder="1" applyAlignment="1">
      <alignment horizontal="left" vertical="center"/>
    </xf>
    <xf numFmtId="0" fontId="16" fillId="0" borderId="48" xfId="0" applyFont="1" applyBorder="1" applyAlignment="1">
      <alignment horizontal="center" vertical="center" wrapText="1"/>
    </xf>
    <xf numFmtId="0" fontId="17" fillId="0" borderId="0" xfId="0" applyFont="1" applyAlignment="1">
      <alignment horizontal="left"/>
    </xf>
    <xf numFmtId="0" fontId="17" fillId="0" borderId="0" xfId="0" applyFont="1" applyAlignment="1" applyProtection="1">
      <alignment horizontal="right" vertical="center"/>
      <protection locked="0"/>
    </xf>
    <xf numFmtId="0" fontId="16" fillId="0" borderId="31" xfId="0" applyFont="1" applyBorder="1" applyAlignment="1">
      <alignment horizontal="center" vertical="center" wrapText="1"/>
    </xf>
    <xf numFmtId="0" fontId="14" fillId="0" borderId="0" xfId="0" applyFont="1" applyAlignment="1">
      <alignment vertical="center"/>
    </xf>
    <xf numFmtId="164" fontId="17" fillId="0" borderId="2" xfId="1" applyFont="1" applyBorder="1"/>
    <xf numFmtId="164" fontId="17" fillId="0" borderId="12" xfId="1" applyFont="1" applyBorder="1"/>
    <xf numFmtId="164" fontId="17" fillId="0" borderId="43" xfId="1" applyFont="1" applyBorder="1"/>
    <xf numFmtId="164" fontId="17" fillId="0" borderId="45" xfId="1" applyFont="1" applyBorder="1"/>
    <xf numFmtId="164" fontId="17" fillId="0" borderId="31" xfId="1" applyFont="1" applyBorder="1"/>
    <xf numFmtId="164" fontId="17" fillId="0" borderId="44" xfId="1" applyFont="1" applyBorder="1"/>
    <xf numFmtId="165" fontId="16" fillId="0" borderId="2" xfId="1" applyNumberFormat="1" applyFont="1" applyBorder="1" applyAlignment="1">
      <alignment horizontal="center"/>
    </xf>
    <xf numFmtId="165" fontId="16" fillId="0" borderId="12" xfId="1" applyNumberFormat="1" applyFont="1" applyBorder="1" applyAlignment="1">
      <alignment horizontal="center"/>
    </xf>
    <xf numFmtId="10" fontId="3" fillId="0" borderId="43" xfId="2" applyNumberFormat="1" applyFont="1" applyFill="1" applyBorder="1" applyAlignment="1" applyProtection="1">
      <alignment horizontal="right" vertical="top"/>
    </xf>
    <xf numFmtId="10" fontId="3" fillId="0" borderId="45" xfId="2" applyNumberFormat="1" applyFont="1" applyFill="1" applyBorder="1" applyAlignment="1" applyProtection="1">
      <alignment horizontal="right" vertical="top"/>
    </xf>
    <xf numFmtId="164" fontId="16" fillId="0" borderId="31" xfId="1" applyFont="1" applyBorder="1" applyAlignment="1">
      <alignment vertical="center" wrapText="1"/>
    </xf>
    <xf numFmtId="164" fontId="16" fillId="0" borderId="44" xfId="1" applyFont="1" applyBorder="1" applyAlignment="1">
      <alignment vertical="center" wrapText="1"/>
    </xf>
    <xf numFmtId="0" fontId="17" fillId="0" borderId="0" xfId="0" applyFont="1" applyAlignment="1">
      <alignment horizontal="left" wrapText="1"/>
    </xf>
    <xf numFmtId="0" fontId="16" fillId="0" borderId="18" xfId="0" applyFont="1" applyBorder="1" applyAlignment="1">
      <alignment horizontal="center" vertical="center"/>
    </xf>
    <xf numFmtId="0" fontId="16" fillId="0" borderId="18" xfId="0" applyFont="1" applyBorder="1" applyAlignment="1">
      <alignment horizontal="center" vertical="center" wrapText="1"/>
    </xf>
    <xf numFmtId="0" fontId="3" fillId="0" borderId="41" xfId="0" applyFont="1" applyBorder="1" applyProtection="1">
      <protection locked="0"/>
    </xf>
    <xf numFmtId="10" fontId="3" fillId="0" borderId="60" xfId="2" applyNumberFormat="1" applyFont="1" applyFill="1" applyBorder="1" applyAlignment="1" applyProtection="1">
      <alignment horizontal="right" vertical="top"/>
    </xf>
    <xf numFmtId="0" fontId="3" fillId="0" borderId="26" xfId="0" applyFont="1" applyBorder="1" applyAlignment="1" applyProtection="1">
      <alignment horizontal="left" vertical="top" wrapText="1"/>
      <protection locked="0"/>
    </xf>
    <xf numFmtId="0" fontId="3" fillId="0" borderId="61" xfId="0" applyFont="1" applyBorder="1" applyAlignment="1" applyProtection="1">
      <alignment horizontal="center"/>
      <protection locked="0"/>
    </xf>
    <xf numFmtId="10" fontId="8" fillId="0" borderId="24" xfId="0" applyNumberFormat="1" applyFont="1" applyBorder="1" applyProtection="1">
      <protection locked="0"/>
    </xf>
    <xf numFmtId="166" fontId="3" fillId="0" borderId="3" xfId="2" applyNumberFormat="1" applyFont="1" applyFill="1" applyBorder="1" applyAlignment="1" applyProtection="1">
      <alignment horizontal="right" vertical="top"/>
    </xf>
    <xf numFmtId="166" fontId="3" fillId="0" borderId="62" xfId="2" applyNumberFormat="1" applyFont="1" applyFill="1" applyBorder="1" applyAlignment="1" applyProtection="1">
      <alignment horizontal="right" vertical="top"/>
    </xf>
    <xf numFmtId="166" fontId="3" fillId="0" borderId="28" xfId="2" applyNumberFormat="1" applyFont="1" applyBorder="1" applyAlignment="1" applyProtection="1">
      <alignment horizontal="right" vertical="top"/>
      <protection locked="0"/>
    </xf>
    <xf numFmtId="0" fontId="3" fillId="0" borderId="54" xfId="0" applyFont="1" applyBorder="1" applyProtection="1">
      <protection locked="0"/>
    </xf>
    <xf numFmtId="0" fontId="3" fillId="0" borderId="61" xfId="0" applyFont="1" applyBorder="1" applyProtection="1">
      <protection locked="0"/>
    </xf>
    <xf numFmtId="166" fontId="3" fillId="0" borderId="8" xfId="2" applyNumberFormat="1" applyFont="1" applyFill="1" applyBorder="1" applyAlignment="1" applyProtection="1">
      <alignment horizontal="right" vertical="top"/>
    </xf>
    <xf numFmtId="0" fontId="3" fillId="0" borderId="43" xfId="0" applyFont="1" applyBorder="1" applyProtection="1">
      <protection locked="0"/>
    </xf>
    <xf numFmtId="0" fontId="3" fillId="0" borderId="53" xfId="0" applyFont="1" applyBorder="1" applyAlignment="1" applyProtection="1">
      <alignment wrapText="1"/>
      <protection locked="0"/>
    </xf>
    <xf numFmtId="10" fontId="8" fillId="0" borderId="43" xfId="0" applyNumberFormat="1" applyFont="1" applyBorder="1" applyProtection="1">
      <protection locked="0"/>
    </xf>
    <xf numFmtId="0" fontId="3" fillId="0" borderId="41" xfId="0" applyFont="1" applyBorder="1" applyAlignment="1" applyProtection="1">
      <alignment wrapText="1"/>
      <protection locked="0"/>
    </xf>
    <xf numFmtId="0" fontId="3" fillId="0" borderId="43" xfId="0" applyFont="1" applyBorder="1" applyAlignment="1" applyProtection="1">
      <alignment wrapText="1"/>
      <protection locked="0"/>
    </xf>
    <xf numFmtId="0" fontId="3" fillId="0" borderId="45" xfId="0" applyFont="1" applyBorder="1" applyAlignment="1" applyProtection="1">
      <alignment wrapText="1"/>
      <protection locked="0"/>
    </xf>
    <xf numFmtId="0" fontId="3" fillId="0" borderId="24" xfId="0" applyFont="1" applyBorder="1" applyAlignment="1" applyProtection="1">
      <alignment wrapText="1"/>
      <protection locked="0"/>
    </xf>
    <xf numFmtId="10" fontId="8" fillId="0" borderId="45" xfId="0" applyNumberFormat="1" applyFont="1" applyBorder="1" applyProtection="1">
      <protection locked="0"/>
    </xf>
    <xf numFmtId="0" fontId="3" fillId="0" borderId="54" xfId="0" applyFont="1" applyBorder="1" applyAlignment="1" applyProtection="1">
      <alignment wrapText="1"/>
      <protection locked="0"/>
    </xf>
    <xf numFmtId="0" fontId="9" fillId="4" borderId="21" xfId="0" applyFont="1" applyFill="1" applyBorder="1" applyAlignment="1">
      <alignment horizontal="right" vertical="top"/>
    </xf>
    <xf numFmtId="0" fontId="3" fillId="4" borderId="22" xfId="0" applyFont="1" applyFill="1" applyBorder="1"/>
    <xf numFmtId="10" fontId="9" fillId="0" borderId="18" xfId="0" applyNumberFormat="1" applyFont="1" applyBorder="1" applyAlignment="1">
      <alignment horizontal="right" vertical="top"/>
    </xf>
    <xf numFmtId="0" fontId="3" fillId="0" borderId="48" xfId="0" applyFont="1" applyBorder="1" applyProtection="1">
      <protection locked="0"/>
    </xf>
    <xf numFmtId="10" fontId="9" fillId="0" borderId="14" xfId="0" applyNumberFormat="1" applyFont="1" applyBorder="1" applyAlignment="1">
      <alignment horizontal="right" vertical="top"/>
    </xf>
    <xf numFmtId="3" fontId="4" fillId="3" borderId="45" xfId="0" applyNumberFormat="1" applyFont="1" applyFill="1" applyBorder="1" applyAlignment="1" applyProtection="1">
      <alignment vertical="top"/>
      <protection locked="0"/>
    </xf>
    <xf numFmtId="0" fontId="4" fillId="2" borderId="55"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0" borderId="31" xfId="0" applyFont="1" applyBorder="1" applyAlignment="1">
      <alignment vertical="top"/>
    </xf>
    <xf numFmtId="0" fontId="4" fillId="0" borderId="31" xfId="0" applyFont="1" applyBorder="1" applyAlignment="1">
      <alignment horizontal="left" vertical="top"/>
    </xf>
    <xf numFmtId="0" fontId="4" fillId="0" borderId="25" xfId="0" applyFont="1" applyBorder="1" applyAlignment="1">
      <alignment horizontal="left" vertical="top"/>
    </xf>
    <xf numFmtId="3" fontId="3" fillId="0" borderId="0" xfId="0" applyNumberFormat="1" applyFont="1" applyAlignment="1">
      <alignment vertical="top"/>
    </xf>
    <xf numFmtId="3" fontId="4" fillId="0" borderId="0" xfId="0" applyNumberFormat="1" applyFont="1" applyAlignment="1">
      <alignment vertical="top"/>
    </xf>
    <xf numFmtId="0" fontId="3" fillId="0" borderId="25" xfId="0" applyFont="1" applyBorder="1" applyAlignment="1">
      <alignment horizontal="right" indent="1"/>
    </xf>
    <xf numFmtId="0" fontId="3" fillId="0" borderId="0" xfId="0" applyFont="1" applyAlignment="1">
      <alignment horizontal="right" indent="1"/>
    </xf>
    <xf numFmtId="3" fontId="3" fillId="0" borderId="0" xfId="0" applyNumberFormat="1" applyFont="1" applyAlignment="1">
      <alignment horizontal="center" vertical="center"/>
    </xf>
    <xf numFmtId="10" fontId="3" fillId="0" borderId="4" xfId="0" applyNumberFormat="1" applyFont="1" applyBorder="1" applyAlignment="1">
      <alignment horizontal="right" indent="1"/>
    </xf>
    <xf numFmtId="3" fontId="3" fillId="0" borderId="4" xfId="0" applyNumberFormat="1" applyFont="1" applyBorder="1" applyAlignment="1">
      <alignment horizontal="center" vertical="center"/>
    </xf>
    <xf numFmtId="0" fontId="4" fillId="0" borderId="23" xfId="0" applyFont="1" applyBorder="1"/>
    <xf numFmtId="3" fontId="4" fillId="0" borderId="16" xfId="0" applyNumberFormat="1" applyFont="1" applyBorder="1"/>
    <xf numFmtId="3" fontId="4" fillId="0" borderId="17" xfId="0" applyNumberFormat="1" applyFont="1" applyBorder="1" applyAlignment="1">
      <alignment vertical="top"/>
    </xf>
    <xf numFmtId="3" fontId="4" fillId="0" borderId="16" xfId="0" applyNumberFormat="1" applyFont="1" applyBorder="1" applyAlignment="1">
      <alignment vertical="top"/>
    </xf>
    <xf numFmtId="0" fontId="3" fillId="5" borderId="25" xfId="0" applyFont="1" applyFill="1" applyBorder="1" applyAlignment="1" applyProtection="1">
      <alignment horizontal="right" indent="1"/>
      <protection locked="0"/>
    </xf>
    <xf numFmtId="0" fontId="3" fillId="5" borderId="27" xfId="0" applyFont="1" applyFill="1" applyBorder="1" applyAlignment="1" applyProtection="1">
      <alignment horizontal="right" indent="1"/>
      <protection locked="0"/>
    </xf>
    <xf numFmtId="0" fontId="3" fillId="5" borderId="44" xfId="0" applyFont="1" applyFill="1" applyBorder="1" applyAlignment="1" applyProtection="1">
      <alignment horizontal="right" wrapText="1"/>
      <protection locked="0"/>
    </xf>
    <xf numFmtId="0" fontId="3" fillId="5" borderId="12" xfId="0" applyFont="1" applyFill="1" applyBorder="1" applyProtection="1">
      <protection locked="0"/>
    </xf>
    <xf numFmtId="3" fontId="3" fillId="0" borderId="62" xfId="0" applyNumberFormat="1" applyFont="1" applyBorder="1"/>
    <xf numFmtId="0" fontId="4" fillId="0" borderId="27" xfId="0" applyFont="1" applyBorder="1"/>
    <xf numFmtId="0" fontId="4" fillId="0" borderId="62" xfId="0" applyFont="1" applyBorder="1"/>
    <xf numFmtId="3" fontId="3" fillId="0" borderId="63" xfId="0" applyNumberFormat="1" applyFont="1" applyBorder="1"/>
    <xf numFmtId="3" fontId="4" fillId="5" borderId="14" xfId="0" applyNumberFormat="1" applyFont="1" applyFill="1" applyBorder="1" applyProtection="1">
      <protection locked="0"/>
    </xf>
    <xf numFmtId="0" fontId="3" fillId="5" borderId="0" xfId="0" applyFont="1" applyFill="1" applyProtection="1">
      <protection locked="0"/>
    </xf>
    <xf numFmtId="165" fontId="3" fillId="5" borderId="0" xfId="1" applyNumberFormat="1" applyFont="1" applyFill="1" applyBorder="1" applyProtection="1">
      <protection locked="0"/>
    </xf>
    <xf numFmtId="0" fontId="4" fillId="0" borderId="32" xfId="0" applyFont="1" applyBorder="1" applyAlignment="1">
      <alignment vertical="top"/>
    </xf>
    <xf numFmtId="165" fontId="3" fillId="5" borderId="31" xfId="1" applyNumberFormat="1" applyFont="1" applyFill="1" applyBorder="1" applyProtection="1">
      <protection locked="0"/>
    </xf>
    <xf numFmtId="165" fontId="3" fillId="5" borderId="44" xfId="1" applyNumberFormat="1" applyFont="1" applyFill="1" applyBorder="1" applyProtection="1">
      <protection locked="0"/>
    </xf>
    <xf numFmtId="0" fontId="4" fillId="0" borderId="23" xfId="0" applyFont="1" applyBorder="1" applyAlignment="1">
      <alignment vertical="top"/>
    </xf>
    <xf numFmtId="10" fontId="4" fillId="3" borderId="16" xfId="0" applyNumberFormat="1" applyFont="1" applyFill="1" applyBorder="1"/>
    <xf numFmtId="10" fontId="4" fillId="3" borderId="16" xfId="2" applyNumberFormat="1" applyFont="1" applyFill="1" applyBorder="1" applyProtection="1"/>
    <xf numFmtId="3" fontId="4" fillId="3" borderId="16" xfId="0" applyNumberFormat="1" applyFont="1" applyFill="1" applyBorder="1"/>
    <xf numFmtId="0" fontId="3" fillId="3" borderId="47" xfId="0" applyFont="1" applyFill="1" applyBorder="1" applyAlignment="1">
      <alignment horizontal="left" vertical="top" wrapText="1"/>
    </xf>
    <xf numFmtId="0" fontId="3" fillId="0" borderId="64" xfId="0" applyFont="1" applyBorder="1" applyAlignment="1">
      <alignment horizontal="left" vertical="top"/>
    </xf>
    <xf numFmtId="0" fontId="4" fillId="0" borderId="23" xfId="0" applyFont="1" applyBorder="1" applyAlignment="1">
      <alignment horizontal="left" vertical="top"/>
    </xf>
    <xf numFmtId="10" fontId="8" fillId="0" borderId="16" xfId="0" applyNumberFormat="1" applyFont="1" applyBorder="1" applyAlignment="1">
      <alignment horizontal="left" vertical="top" indent="1"/>
    </xf>
    <xf numFmtId="0" fontId="3" fillId="0" borderId="16" xfId="0" applyFont="1" applyBorder="1" applyAlignment="1">
      <alignment horizontal="left" indent="1"/>
    </xf>
    <xf numFmtId="165" fontId="3" fillId="0" borderId="16" xfId="1" applyNumberFormat="1" applyFont="1" applyBorder="1" applyProtection="1"/>
    <xf numFmtId="0" fontId="3" fillId="0" borderId="32" xfId="0" applyFont="1" applyBorder="1" applyAlignment="1">
      <alignment horizontal="left" vertical="top"/>
    </xf>
    <xf numFmtId="0" fontId="3" fillId="0" borderId="44" xfId="0" applyFont="1" applyBorder="1" applyAlignment="1">
      <alignment horizontal="left" vertical="top"/>
    </xf>
    <xf numFmtId="9" fontId="9" fillId="0" borderId="13" xfId="0" applyNumberFormat="1" applyFont="1" applyBorder="1" applyAlignment="1">
      <alignment horizontal="left" vertical="top" indent="1"/>
    </xf>
    <xf numFmtId="9" fontId="9" fillId="0" borderId="15" xfId="0" applyNumberFormat="1" applyFont="1" applyBorder="1" applyAlignment="1">
      <alignment horizontal="left" vertical="top" indent="1"/>
    </xf>
    <xf numFmtId="165" fontId="3" fillId="0" borderId="13" xfId="1" applyNumberFormat="1" applyFont="1" applyBorder="1" applyProtection="1"/>
    <xf numFmtId="3" fontId="3" fillId="0" borderId="33" xfId="0" applyNumberFormat="1" applyFont="1" applyBorder="1" applyAlignment="1">
      <alignment vertical="top"/>
    </xf>
    <xf numFmtId="0" fontId="4" fillId="4" borderId="20" xfId="0" applyFont="1" applyFill="1" applyBorder="1" applyAlignment="1">
      <alignment vertical="top"/>
    </xf>
    <xf numFmtId="0" fontId="10" fillId="4" borderId="57" xfId="0" applyFont="1" applyFill="1" applyBorder="1" applyAlignment="1">
      <alignment horizontal="left" vertical="top"/>
    </xf>
    <xf numFmtId="0" fontId="4" fillId="4" borderId="57" xfId="0" applyFont="1" applyFill="1" applyBorder="1" applyAlignment="1">
      <alignment horizontal="left"/>
    </xf>
    <xf numFmtId="3" fontId="4" fillId="4" borderId="57" xfId="0" applyNumberFormat="1" applyFont="1" applyFill="1" applyBorder="1"/>
    <xf numFmtId="3" fontId="4" fillId="4" borderId="21" xfId="0" applyNumberFormat="1" applyFont="1" applyFill="1" applyBorder="1" applyAlignment="1">
      <alignment vertical="top"/>
    </xf>
    <xf numFmtId="0" fontId="3" fillId="0" borderId="55" xfId="0" applyFont="1" applyBorder="1" applyAlignment="1">
      <alignment horizontal="left" vertical="top"/>
    </xf>
    <xf numFmtId="9" fontId="9" fillId="0" borderId="49" xfId="0" applyNumberFormat="1" applyFont="1" applyBorder="1" applyAlignment="1">
      <alignment horizontal="left" vertical="top" indent="1"/>
    </xf>
    <xf numFmtId="0" fontId="3" fillId="0" borderId="49" xfId="0" applyFont="1" applyBorder="1" applyAlignment="1">
      <alignment horizontal="left" indent="1"/>
    </xf>
    <xf numFmtId="3" fontId="3" fillId="0" borderId="49" xfId="0" applyNumberFormat="1" applyFont="1" applyBorder="1"/>
    <xf numFmtId="3" fontId="3" fillId="0" borderId="18" xfId="0" applyNumberFormat="1" applyFont="1" applyBorder="1" applyAlignment="1">
      <alignment vertical="top"/>
    </xf>
    <xf numFmtId="3" fontId="3" fillId="0" borderId="49" xfId="0" applyNumberFormat="1" applyFont="1" applyBorder="1" applyAlignment="1">
      <alignment vertical="top"/>
    </xf>
    <xf numFmtId="0" fontId="3" fillId="3" borderId="44" xfId="0" applyFont="1" applyFill="1" applyBorder="1" applyAlignment="1">
      <alignment vertical="top"/>
    </xf>
    <xf numFmtId="0" fontId="3" fillId="3" borderId="13" xfId="0" applyFont="1" applyFill="1" applyBorder="1"/>
    <xf numFmtId="3" fontId="3" fillId="3" borderId="13" xfId="0" applyNumberFormat="1" applyFont="1" applyFill="1" applyBorder="1"/>
    <xf numFmtId="3" fontId="3" fillId="3" borderId="12" xfId="0" applyNumberFormat="1" applyFont="1" applyFill="1" applyBorder="1" applyAlignment="1">
      <alignment vertical="top"/>
    </xf>
    <xf numFmtId="165" fontId="17" fillId="0" borderId="2" xfId="1" applyNumberFormat="1" applyFont="1" applyBorder="1"/>
    <xf numFmtId="0" fontId="17" fillId="0" borderId="0" xfId="0" applyFont="1" applyAlignment="1">
      <alignment horizontal="center"/>
    </xf>
    <xf numFmtId="165" fontId="17" fillId="0" borderId="43" xfId="1" applyNumberFormat="1" applyFont="1" applyBorder="1"/>
    <xf numFmtId="165" fontId="17" fillId="0" borderId="0" xfId="0" applyNumberFormat="1" applyFont="1"/>
    <xf numFmtId="165" fontId="17" fillId="0" borderId="12" xfId="1" applyNumberFormat="1" applyFont="1" applyBorder="1"/>
    <xf numFmtId="165" fontId="17" fillId="0" borderId="45" xfId="1" applyNumberFormat="1" applyFont="1" applyBorder="1"/>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0" borderId="0" xfId="0" applyFont="1" applyAlignment="1">
      <alignment wrapText="1"/>
    </xf>
    <xf numFmtId="0" fontId="18" fillId="0" borderId="2" xfId="0" applyFont="1" applyBorder="1" applyAlignment="1">
      <alignment horizontal="left" vertical="top"/>
    </xf>
    <xf numFmtId="0" fontId="4" fillId="2" borderId="2" xfId="0" applyFont="1" applyFill="1" applyBorder="1" applyAlignment="1">
      <alignment horizontal="center" vertical="center" wrapText="1"/>
    </xf>
    <xf numFmtId="0" fontId="3" fillId="0" borderId="27" xfId="0" applyFont="1" applyBorder="1" applyAlignment="1">
      <alignment horizontal="right" indent="1"/>
    </xf>
    <xf numFmtId="17" fontId="4" fillId="0" borderId="2" xfId="0" applyNumberFormat="1" applyFont="1" applyBorder="1" applyAlignment="1">
      <alignment horizontal="center" vertical="center" wrapText="1"/>
    </xf>
    <xf numFmtId="0" fontId="4" fillId="0" borderId="6" xfId="0" applyFont="1" applyBorder="1" applyAlignment="1">
      <alignment vertical="center"/>
    </xf>
    <xf numFmtId="0" fontId="4" fillId="0" borderId="8" xfId="0" applyFont="1" applyBorder="1" applyAlignment="1">
      <alignment vertical="center"/>
    </xf>
    <xf numFmtId="0" fontId="3" fillId="0" borderId="0" xfId="0" applyFont="1" applyAlignment="1">
      <alignment horizontal="left" vertical="center" wrapText="1" indent="1"/>
    </xf>
    <xf numFmtId="0" fontId="4" fillId="0" borderId="8" xfId="0" applyFont="1" applyBorder="1" applyAlignment="1">
      <alignment horizontal="center" vertical="center" wrapText="1"/>
    </xf>
    <xf numFmtId="0" fontId="3" fillId="0" borderId="1" xfId="0" applyFont="1" applyBorder="1" applyAlignment="1">
      <alignment horizontal="left" vertical="center"/>
    </xf>
    <xf numFmtId="2" fontId="14" fillId="3" borderId="2" xfId="0" applyNumberFormat="1" applyFont="1" applyFill="1" applyBorder="1" applyAlignment="1">
      <alignment horizontal="center" vertical="center"/>
    </xf>
    <xf numFmtId="0" fontId="9" fillId="0" borderId="1" xfId="0" applyFont="1" applyBorder="1" applyAlignment="1">
      <alignment horizontal="left" vertical="center"/>
    </xf>
    <xf numFmtId="0" fontId="3" fillId="3" borderId="1" xfId="0" applyFont="1" applyFill="1" applyBorder="1" applyAlignment="1">
      <alignment horizontal="left" vertical="center"/>
    </xf>
    <xf numFmtId="0" fontId="9" fillId="3" borderId="1" xfId="0" applyFont="1" applyFill="1" applyBorder="1" applyAlignment="1">
      <alignment horizontal="left" vertical="center"/>
    </xf>
    <xf numFmtId="0" fontId="3" fillId="3" borderId="65" xfId="0" applyFont="1" applyFill="1" applyBorder="1" applyAlignment="1">
      <alignment horizontal="left" vertical="center"/>
    </xf>
    <xf numFmtId="0" fontId="3" fillId="0" borderId="12" xfId="0" applyFont="1" applyBorder="1" applyAlignment="1">
      <alignment horizontal="center" vertical="center"/>
    </xf>
    <xf numFmtId="0" fontId="3" fillId="3" borderId="33" xfId="0" applyFont="1" applyFill="1" applyBorder="1" applyAlignment="1">
      <alignment horizontal="left" vertical="center"/>
    </xf>
    <xf numFmtId="0" fontId="3" fillId="0" borderId="33" xfId="0" applyFont="1" applyBorder="1" applyAlignment="1">
      <alignment horizontal="left" vertical="center" indent="1"/>
    </xf>
    <xf numFmtId="2" fontId="14" fillId="3" borderId="12" xfId="0" applyNumberFormat="1" applyFont="1" applyFill="1" applyBorder="1" applyAlignment="1">
      <alignment horizontal="center" vertical="center"/>
    </xf>
    <xf numFmtId="49" fontId="3" fillId="0" borderId="8" xfId="0" applyNumberFormat="1" applyFont="1" applyBorder="1" applyAlignment="1">
      <alignment horizontal="center" vertical="center"/>
    </xf>
    <xf numFmtId="0" fontId="3" fillId="0" borderId="60" xfId="0" applyFont="1" applyBorder="1" applyAlignment="1">
      <alignment horizontal="left" vertical="center" indent="1"/>
    </xf>
    <xf numFmtId="2" fontId="19" fillId="3" borderId="8" xfId="0" applyNumberFormat="1" applyFont="1" applyFill="1" applyBorder="1" applyAlignment="1">
      <alignment horizontal="center" vertical="center"/>
    </xf>
    <xf numFmtId="2" fontId="19" fillId="3" borderId="2" xfId="0" applyNumberFormat="1" applyFont="1" applyFill="1" applyBorder="1" applyAlignment="1">
      <alignment horizontal="center" vertical="center"/>
    </xf>
    <xf numFmtId="2" fontId="19" fillId="3" borderId="12" xfId="0" applyNumberFormat="1" applyFont="1" applyFill="1" applyBorder="1" applyAlignment="1">
      <alignment horizontal="center" vertical="center"/>
    </xf>
    <xf numFmtId="0" fontId="4" fillId="0" borderId="60" xfId="0" applyFont="1" applyBorder="1" applyAlignment="1">
      <alignment horizontal="center" vertical="center"/>
    </xf>
    <xf numFmtId="0" fontId="4" fillId="0" borderId="5" xfId="0" applyFont="1" applyBorder="1" applyAlignment="1">
      <alignment horizontal="center" vertical="center" wrapText="1"/>
    </xf>
    <xf numFmtId="3" fontId="3" fillId="0" borderId="0" xfId="0" applyNumberFormat="1" applyFont="1" applyAlignment="1">
      <alignment horizontal="left" vertical="center" wrapText="1" indent="1"/>
    </xf>
    <xf numFmtId="0" fontId="3" fillId="3" borderId="0" xfId="0" applyFont="1" applyFill="1" applyAlignment="1">
      <alignment horizontal="left" vertical="center" wrapText="1" indent="1"/>
    </xf>
    <xf numFmtId="0" fontId="7" fillId="6" borderId="0" xfId="0" applyFont="1" applyFill="1" applyAlignment="1">
      <alignment horizontal="left" vertical="center" wrapText="1" indent="1"/>
    </xf>
    <xf numFmtId="0" fontId="3" fillId="0" borderId="0" xfId="0" applyFont="1" applyAlignment="1">
      <alignment horizontal="left"/>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vertical="top" wrapText="1"/>
    </xf>
    <xf numFmtId="0" fontId="3" fillId="0" borderId="0" xfId="0" applyFont="1" applyAlignment="1">
      <alignment vertical="top" wrapText="1"/>
    </xf>
    <xf numFmtId="0" fontId="0" fillId="0" borderId="0" xfId="0" applyAlignment="1">
      <alignment vertical="top" wrapText="1"/>
    </xf>
    <xf numFmtId="0" fontId="3" fillId="0" borderId="0" xfId="0" applyFont="1" applyAlignment="1">
      <alignment horizontal="center" vertical="center"/>
    </xf>
    <xf numFmtId="0" fontId="0" fillId="0" borderId="0" xfId="0"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3" xfId="0" applyFont="1" applyBorder="1" applyAlignment="1">
      <alignment horizontal="left" vertical="center"/>
    </xf>
    <xf numFmtId="0" fontId="4" fillId="0" borderId="30" xfId="0" applyFont="1" applyBorder="1" applyAlignment="1">
      <alignment horizontal="left" vertical="center"/>
    </xf>
    <xf numFmtId="0" fontId="3" fillId="0" borderId="26" xfId="0" applyFont="1" applyBorder="1" applyAlignment="1" applyProtection="1">
      <alignment horizontal="center"/>
      <protection locked="0"/>
    </xf>
    <xf numFmtId="0" fontId="3" fillId="0" borderId="28" xfId="0" applyFont="1" applyBorder="1" applyAlignment="1" applyProtection="1">
      <alignment horizontal="center"/>
      <protection locked="0"/>
    </xf>
    <xf numFmtId="165" fontId="3" fillId="5" borderId="2" xfId="1" applyNumberFormat="1" applyFont="1" applyFill="1" applyBorder="1" applyAlignment="1" applyProtection="1">
      <alignment horizontal="left" vertical="center"/>
      <protection locked="0"/>
    </xf>
    <xf numFmtId="165" fontId="8" fillId="0" borderId="11" xfId="1" applyNumberFormat="1" applyFont="1" applyFill="1" applyBorder="1" applyAlignment="1" applyProtection="1">
      <alignment horizontal="left" vertical="center"/>
    </xf>
    <xf numFmtId="165" fontId="8" fillId="0" borderId="1" xfId="1" applyNumberFormat="1" applyFont="1" applyFill="1" applyBorder="1" applyAlignment="1" applyProtection="1">
      <alignment horizontal="left" vertical="center"/>
    </xf>
    <xf numFmtId="165" fontId="8" fillId="0" borderId="9" xfId="1" applyNumberFormat="1" applyFont="1" applyFill="1" applyBorder="1" applyAlignment="1" applyProtection="1">
      <alignment horizontal="left" vertical="center"/>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40" xfId="0" applyFont="1" applyFill="1" applyBorder="1" applyAlignment="1">
      <alignment horizontal="right" vertical="center"/>
    </xf>
    <xf numFmtId="0" fontId="4" fillId="3" borderId="51" xfId="0" applyFont="1" applyFill="1" applyBorder="1" applyAlignment="1">
      <alignment horizontal="right" vertical="center"/>
    </xf>
    <xf numFmtId="0" fontId="4" fillId="3" borderId="46" xfId="0" applyFont="1" applyFill="1" applyBorder="1" applyAlignment="1">
      <alignment horizontal="right" vertical="center"/>
    </xf>
    <xf numFmtId="0" fontId="4" fillId="0" borderId="40" xfId="0" applyFont="1" applyBorder="1" applyAlignment="1">
      <alignment horizontal="center" vertical="center"/>
    </xf>
    <xf numFmtId="0" fontId="4" fillId="0" borderId="16" xfId="0" applyFont="1" applyBorder="1" applyAlignment="1">
      <alignment horizontal="center" vertical="center"/>
    </xf>
    <xf numFmtId="0" fontId="4" fillId="0" borderId="54" xfId="0" applyFont="1" applyBorder="1" applyAlignment="1">
      <alignment horizontal="center" vertical="center"/>
    </xf>
    <xf numFmtId="0" fontId="4" fillId="0" borderId="46" xfId="0" applyFont="1" applyBorder="1" applyAlignment="1">
      <alignment horizontal="center" vertical="center"/>
    </xf>
    <xf numFmtId="0" fontId="4" fillId="0" borderId="10" xfId="0" applyFont="1" applyBorder="1" applyAlignment="1">
      <alignment horizontal="center" vertical="center"/>
    </xf>
    <xf numFmtId="0" fontId="4" fillId="0" borderId="53" xfId="0" applyFont="1" applyBorder="1" applyAlignment="1">
      <alignment horizontal="center" vertical="center"/>
    </xf>
    <xf numFmtId="0" fontId="4" fillId="2" borderId="3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52" xfId="0" applyFont="1" applyBorder="1" applyAlignment="1">
      <alignment horizontal="center" vertical="center"/>
    </xf>
    <xf numFmtId="0" fontId="4" fillId="0" borderId="18" xfId="0" applyFont="1" applyBorder="1" applyAlignment="1">
      <alignment horizontal="center" vertical="center"/>
    </xf>
    <xf numFmtId="0" fontId="4" fillId="2" borderId="4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2" borderId="32"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4" fillId="0" borderId="5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8" xfId="0" applyFont="1" applyBorder="1" applyAlignment="1">
      <alignment horizontal="center" vertical="center"/>
    </xf>
    <xf numFmtId="0" fontId="4" fillId="0" borderId="43" xfId="0" applyFont="1" applyBorder="1" applyAlignment="1">
      <alignment horizontal="center" vertical="center"/>
    </xf>
    <xf numFmtId="0" fontId="4" fillId="0" borderId="18" xfId="0" applyFont="1" applyBorder="1" applyAlignment="1">
      <alignment horizontal="center" vertical="center" wrapText="1"/>
    </xf>
    <xf numFmtId="0" fontId="4" fillId="0" borderId="48" xfId="0" applyFont="1" applyBorder="1" applyAlignment="1">
      <alignment horizontal="center" vertical="center" wrapText="1"/>
    </xf>
    <xf numFmtId="165" fontId="4" fillId="3" borderId="55" xfId="1" applyNumberFormat="1" applyFont="1" applyFill="1" applyBorder="1" applyAlignment="1" applyProtection="1">
      <alignment horizontal="center" vertical="center"/>
    </xf>
    <xf numFmtId="165" fontId="4" fillId="3" borderId="31" xfId="1" applyNumberFormat="1" applyFont="1" applyFill="1" applyBorder="1" applyAlignment="1" applyProtection="1">
      <alignment horizontal="center" vertical="center"/>
    </xf>
    <xf numFmtId="165" fontId="4" fillId="3" borderId="18" xfId="1" applyNumberFormat="1" applyFont="1" applyFill="1" applyBorder="1" applyAlignment="1" applyProtection="1">
      <alignment horizontal="center" vertical="center"/>
    </xf>
    <xf numFmtId="165" fontId="4" fillId="3" borderId="2" xfId="1" applyNumberFormat="1" applyFont="1" applyFill="1" applyBorder="1" applyAlignment="1" applyProtection="1">
      <alignment horizontal="center" vertical="center"/>
    </xf>
    <xf numFmtId="165" fontId="4" fillId="3" borderId="18" xfId="1" applyNumberFormat="1" applyFont="1" applyFill="1" applyBorder="1" applyAlignment="1" applyProtection="1">
      <alignment horizontal="center" vertical="center" wrapText="1"/>
    </xf>
    <xf numFmtId="0" fontId="17" fillId="0" borderId="55" xfId="0" applyFont="1" applyBorder="1" applyAlignment="1">
      <alignment horizontal="left" wrapText="1"/>
    </xf>
    <xf numFmtId="0" fontId="17" fillId="0" borderId="18" xfId="0" applyFont="1" applyBorder="1" applyAlignment="1">
      <alignment horizontal="left" wrapText="1"/>
    </xf>
    <xf numFmtId="0" fontId="17" fillId="0" borderId="18" xfId="0" applyFont="1" applyBorder="1" applyAlignment="1">
      <alignment horizontal="left"/>
    </xf>
    <xf numFmtId="0" fontId="17" fillId="0" borderId="48" xfId="0" applyFont="1" applyBorder="1" applyAlignment="1">
      <alignment horizontal="left"/>
    </xf>
    <xf numFmtId="0" fontId="17" fillId="0" borderId="44" xfId="0" applyFont="1" applyBorder="1" applyAlignment="1">
      <alignment horizontal="left" wrapText="1"/>
    </xf>
    <xf numFmtId="0" fontId="17" fillId="0" borderId="12" xfId="0" applyFont="1" applyBorder="1" applyAlignment="1">
      <alignment horizontal="left" wrapText="1"/>
    </xf>
    <xf numFmtId="0" fontId="17" fillId="0" borderId="12" xfId="0" applyFont="1" applyBorder="1" applyAlignment="1">
      <alignment horizontal="left"/>
    </xf>
    <xf numFmtId="0" fontId="17" fillId="0" borderId="45" xfId="0" applyFont="1" applyBorder="1" applyAlignment="1">
      <alignment horizontal="left"/>
    </xf>
    <xf numFmtId="0" fontId="15" fillId="0" borderId="24" xfId="0" applyFont="1" applyBorder="1" applyAlignment="1">
      <alignment horizontal="center" vertical="center" wrapText="1"/>
    </xf>
    <xf numFmtId="0" fontId="15" fillId="0" borderId="42" xfId="0" applyFont="1" applyBorder="1" applyAlignment="1">
      <alignment horizontal="center" vertical="center" wrapText="1"/>
    </xf>
    <xf numFmtId="0" fontId="17" fillId="0" borderId="0" xfId="0" applyFont="1" applyAlignment="1">
      <alignment horizontal="left" wrapText="1"/>
    </xf>
    <xf numFmtId="0" fontId="16" fillId="0" borderId="55" xfId="0" applyFont="1" applyBorder="1" applyAlignment="1">
      <alignment horizontal="center" vertical="center"/>
    </xf>
    <xf numFmtId="0" fontId="16" fillId="0" borderId="18" xfId="0" applyFont="1" applyBorder="1" applyAlignment="1">
      <alignment horizontal="center" vertical="center"/>
    </xf>
    <xf numFmtId="0" fontId="16" fillId="0" borderId="18" xfId="0" applyFont="1" applyBorder="1" applyAlignment="1">
      <alignment horizontal="center" vertical="center" wrapText="1"/>
    </xf>
    <xf numFmtId="0" fontId="16" fillId="0" borderId="23" xfId="0" applyFont="1" applyBorder="1" applyAlignment="1">
      <alignment horizontal="center" vertical="center"/>
    </xf>
    <xf numFmtId="0" fontId="16" fillId="0" borderId="30" xfId="0" applyFont="1" applyBorder="1" applyAlignment="1">
      <alignment horizontal="center" vertical="center"/>
    </xf>
    <xf numFmtId="0" fontId="16" fillId="0" borderId="1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50" xfId="0" applyFont="1" applyBorder="1" applyAlignment="1">
      <alignment horizontal="center" vertical="center" wrapText="1"/>
    </xf>
  </cellXfs>
  <cellStyles count="6">
    <cellStyle name="Обычный" xfId="0" builtinId="0"/>
    <cellStyle name="Обычный 5" xfId="3" xr:uid="{00000000-0005-0000-0000-000001000000}"/>
    <cellStyle name="Процентный" xfId="2" builtinId="5"/>
    <cellStyle name="Процентный 3" xfId="4" xr:uid="{00000000-0005-0000-0000-000003000000}"/>
    <cellStyle name="Финансовый" xfId="1" builtinId="3"/>
    <cellStyle name="Финансовый 2" xfId="5" xr:uid="{00000000-0005-0000-0000-000005000000}"/>
  </cellStyles>
  <dxfs count="77">
    <dxf>
      <font>
        <color rgb="FF9C0006"/>
      </font>
      <fill>
        <patternFill>
          <bgColor rgb="FFFFC7CE"/>
        </patternFill>
      </fill>
    </dxf>
    <dxf>
      <font>
        <color rgb="FF9C0006"/>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AppData/Local/Temp/Rar$DIa43456.42434/&#1055;&#1088;&#1080;&#1084;&#1077;&#1088;%20&#1088;&#1072;&#1089;&#1095;&#1077;&#1090;&#1072;%20&#1089;&#1090;&#1086;&#1080;&#1084;&#1086;&#1089;&#1090;&#1080;%20&#1091;&#1089;&#1083;&#1091;&#1075;%20&#1082;&#1083;&#1080;&#1085;&#1080;&#1085;&#1075;&#1072;%20&#1040;&#1050;&#1060;&#1054;%20&#1087;&#1086;%20&#1092;&#1080;&#1082;&#1089;&#1080;&#1088;&#1086;&#1074;&#1072;&#1085;&#1085;&#1086;&#1081;%20&#1089;&#1090;&#1086;&#1080;&#1084;&#1086;&#1089;&#1090;&#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авила и справки"/>
      <sheetName val="Статистическая ЗП"/>
      <sheetName val="Калькуляция"/>
      <sheetName val="Расчет ФОТ"/>
      <sheetName val="Приложение к договору"/>
    </sheetNames>
    <sheetDataSet>
      <sheetData sheetId="0" refreshError="1">
        <row r="6">
          <cell r="B6" t="str">
            <v>Сроки амортизации основных средств определяются каждым участником самостоятельно в соответствии с действующим законодательством РФ, но не должны превышать указанные в столбце "F" максимально допустимые значения данного параметра. При этом не  допускается указывать в основные средства с нулевой остаточной стоимостью. При формировании Калькуляции необходимо в обязательном порядке учитывать затраты на амортизацию каждого основного средства (исходя из ежемесячной амортизации нового основного средства). При этом, если заказчиком допускается использование не нового оборудования, то его рыночная цена считается на момент покупки этого оборудования.</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
    <pageSetUpPr fitToPage="1"/>
  </sheetPr>
  <dimension ref="A1:B33"/>
  <sheetViews>
    <sheetView tabSelected="1" zoomScale="150" zoomScaleNormal="80" workbookViewId="0"/>
  </sheetViews>
  <sheetFormatPr baseColWidth="10" defaultColWidth="8.83203125" defaultRowHeight="16" x14ac:dyDescent="0.2"/>
  <cols>
    <col min="1" max="1" width="4.1640625" style="4" customWidth="1"/>
    <col min="2" max="2" width="118.5" style="1" customWidth="1"/>
    <col min="3" max="3" width="26.5" style="1" customWidth="1"/>
    <col min="4" max="16384" width="8.83203125" style="1"/>
  </cols>
  <sheetData>
    <row r="1" spans="1:2" x14ac:dyDescent="0.2">
      <c r="B1" s="2" t="s">
        <v>195</v>
      </c>
    </row>
    <row r="2" spans="1:2" ht="33" customHeight="1" x14ac:dyDescent="0.2">
      <c r="A2" s="5">
        <v>1</v>
      </c>
      <c r="B2" s="299" t="s">
        <v>295</v>
      </c>
    </row>
    <row r="3" spans="1:2" ht="32.5" customHeight="1" x14ac:dyDescent="0.2">
      <c r="A3" s="5">
        <v>2</v>
      </c>
      <c r="B3" s="3" t="s">
        <v>196</v>
      </c>
    </row>
    <row r="4" spans="1:2" ht="32.5" customHeight="1" x14ac:dyDescent="0.2">
      <c r="A4" s="5">
        <v>3</v>
      </c>
      <c r="B4" s="3" t="s">
        <v>197</v>
      </c>
    </row>
    <row r="5" spans="1:2" ht="20.25" customHeight="1" x14ac:dyDescent="0.2">
      <c r="A5" s="5">
        <v>5</v>
      </c>
      <c r="B5" s="3" t="s">
        <v>61</v>
      </c>
    </row>
    <row r="6" spans="1:2" ht="117" customHeight="1" x14ac:dyDescent="0.2">
      <c r="A6" s="5">
        <v>6</v>
      </c>
      <c r="B6" s="3" t="str">
        <f>'[1]Правила и справки'!$B$6</f>
        <v>Сроки амортизации основных средств определяются каждым участником самостоятельно в соответствии с действующим законодательством РФ, но не должны превышать указанные в столбце "F" максимально допустимые значения данного параметра. При этом не  допускается указывать в основные средства с нулевой остаточной стоимостью. При формировании Калькуляции необходимо в обязательном порядке учитывать затраты на амортизацию каждого основного средства (исходя из ежемесячной амортизации нового основного средства). При этом, если заказчиком допускается использование не нового оборудования, то его рыночная цена считается на момент покупки этого оборудования.</v>
      </c>
    </row>
    <row r="7" spans="1:2" ht="34" x14ac:dyDescent="0.2">
      <c r="A7" s="5">
        <v>7</v>
      </c>
      <c r="B7" s="3" t="s">
        <v>296</v>
      </c>
    </row>
    <row r="8" spans="1:2" ht="68" x14ac:dyDescent="0.2">
      <c r="A8" s="5">
        <v>8</v>
      </c>
      <c r="B8" s="3" t="s">
        <v>297</v>
      </c>
    </row>
    <row r="9" spans="1:2" ht="68" x14ac:dyDescent="0.2">
      <c r="A9" s="5">
        <v>9</v>
      </c>
      <c r="B9" s="3" t="s">
        <v>298</v>
      </c>
    </row>
    <row r="10" spans="1:2" ht="51" x14ac:dyDescent="0.2">
      <c r="A10" s="5">
        <v>10</v>
      </c>
      <c r="B10" s="3" t="s">
        <v>299</v>
      </c>
    </row>
    <row r="11" spans="1:2" ht="17" x14ac:dyDescent="0.2">
      <c r="A11" s="5">
        <v>11</v>
      </c>
      <c r="B11" s="3" t="s">
        <v>380</v>
      </c>
    </row>
    <row r="12" spans="1:2" ht="51" x14ac:dyDescent="0.2">
      <c r="A12" s="5">
        <v>12</v>
      </c>
      <c r="B12" s="3" t="s">
        <v>379</v>
      </c>
    </row>
    <row r="13" spans="1:2" ht="51" x14ac:dyDescent="0.2">
      <c r="A13" s="5">
        <v>13</v>
      </c>
      <c r="B13" s="3" t="s">
        <v>300</v>
      </c>
    </row>
    <row r="14" spans="1:2" ht="34" x14ac:dyDescent="0.2">
      <c r="A14" s="5">
        <v>14</v>
      </c>
      <c r="B14" s="3" t="s">
        <v>301</v>
      </c>
    </row>
    <row r="15" spans="1:2" ht="34" x14ac:dyDescent="0.2">
      <c r="A15" s="5">
        <v>15</v>
      </c>
      <c r="B15" s="3" t="s">
        <v>302</v>
      </c>
    </row>
    <row r="16" spans="1:2" x14ac:dyDescent="0.2">
      <c r="A16" s="5"/>
      <c r="B16" s="6"/>
    </row>
    <row r="17" spans="1:2" ht="18.75" customHeight="1" x14ac:dyDescent="0.2">
      <c r="A17" s="5"/>
      <c r="B17" s="6" t="s">
        <v>198</v>
      </c>
    </row>
    <row r="18" spans="1:2" ht="178.5" customHeight="1" x14ac:dyDescent="0.2">
      <c r="A18" s="5">
        <v>1</v>
      </c>
      <c r="B18" s="331" t="s">
        <v>378</v>
      </c>
    </row>
    <row r="19" spans="1:2" ht="112.5" customHeight="1" x14ac:dyDescent="0.2">
      <c r="A19" s="5">
        <v>2</v>
      </c>
      <c r="B19" s="3" t="s">
        <v>374</v>
      </c>
    </row>
    <row r="20" spans="1:2" ht="51" customHeight="1" x14ac:dyDescent="0.2">
      <c r="A20" s="5">
        <v>3</v>
      </c>
      <c r="B20" s="3" t="s">
        <v>200</v>
      </c>
    </row>
    <row r="21" spans="1:2" ht="56.25" customHeight="1" x14ac:dyDescent="0.2">
      <c r="A21" s="5">
        <v>4</v>
      </c>
      <c r="B21" s="3" t="s">
        <v>62</v>
      </c>
    </row>
    <row r="22" spans="1:2" ht="20.25" customHeight="1" x14ac:dyDescent="0.2">
      <c r="A22" s="5">
        <v>5</v>
      </c>
      <c r="B22" s="3" t="s">
        <v>38</v>
      </c>
    </row>
    <row r="23" spans="1:2" ht="37.5" customHeight="1" x14ac:dyDescent="0.2">
      <c r="A23" s="5">
        <v>6</v>
      </c>
      <c r="B23" s="3" t="s">
        <v>39</v>
      </c>
    </row>
    <row r="24" spans="1:2" ht="46.5" customHeight="1" x14ac:dyDescent="0.2">
      <c r="A24" s="5">
        <v>7</v>
      </c>
      <c r="B24" s="3" t="s">
        <v>303</v>
      </c>
    </row>
    <row r="25" spans="1:2" ht="34" x14ac:dyDescent="0.2">
      <c r="A25" s="4">
        <v>8</v>
      </c>
      <c r="B25" s="171" t="s">
        <v>383</v>
      </c>
    </row>
    <row r="26" spans="1:2" ht="34" x14ac:dyDescent="0.2">
      <c r="A26" s="4">
        <v>9</v>
      </c>
      <c r="B26" s="171" t="s">
        <v>294</v>
      </c>
    </row>
    <row r="27" spans="1:2" x14ac:dyDescent="0.2">
      <c r="A27" s="334">
        <v>10</v>
      </c>
      <c r="B27" s="332" t="s">
        <v>375</v>
      </c>
    </row>
    <row r="28" spans="1:2" x14ac:dyDescent="0.2">
      <c r="A28" s="335"/>
      <c r="B28" s="333"/>
    </row>
    <row r="29" spans="1:2" x14ac:dyDescent="0.2">
      <c r="A29" s="335"/>
      <c r="B29" s="333"/>
    </row>
    <row r="30" spans="1:2" x14ac:dyDescent="0.2">
      <c r="A30" s="335"/>
      <c r="B30" s="333"/>
    </row>
    <row r="31" spans="1:2" x14ac:dyDescent="0.2">
      <c r="A31" s="335"/>
      <c r="B31" s="333"/>
    </row>
    <row r="32" spans="1:2" x14ac:dyDescent="0.2">
      <c r="A32" s="335"/>
      <c r="B32" s="333"/>
    </row>
    <row r="33" spans="1:2" ht="99.75" customHeight="1" x14ac:dyDescent="0.2">
      <c r="A33" s="335"/>
      <c r="B33" s="333"/>
    </row>
  </sheetData>
  <sheetProtection algorithmName="SHA-512" hashValue="AtzhBnJfuEaZEcYGmxoXhPPG+euKyRjF9NxkbE9cLPcmNMoR6BRZ9VxrS1R2SgI4Mln2zg8G5TsB1gm8Th4H2A==" saltValue="qcKOueEAwkKC2RFywQzobQ==" spinCount="100000" sheet="1" formatCells="0" formatColumns="0" formatRows="0" insertColumns="0" insertRows="0" insertHyperlinks="0" deleteColumns="0" deleteRows="0" sort="0" autoFilter="0" pivotTables="0"/>
  <mergeCells count="2">
    <mergeCell ref="B27:B33"/>
    <mergeCell ref="A27:A33"/>
  </mergeCells>
  <pageMargins left="0.70866141732283472" right="0.70866141732283472" top="0.74803149606299213" bottom="0.74803149606299213" header="0.31496062992125984" footer="0.31496062992125984"/>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dimension ref="A1:E175"/>
  <sheetViews>
    <sheetView topLeftCell="B1" zoomScaleNormal="100" workbookViewId="0">
      <pane xSplit="2" ySplit="2" topLeftCell="D3" activePane="bottomRight" state="frozen"/>
      <selection activeCell="B1" sqref="B1"/>
      <selection pane="topRight" activeCell="D1" sqref="D1"/>
      <selection pane="bottomLeft" activeCell="B3" sqref="B3"/>
      <selection pane="bottomRight" activeCell="M12" sqref="M12"/>
    </sheetView>
  </sheetViews>
  <sheetFormatPr baseColWidth="10" defaultColWidth="8.83203125" defaultRowHeight="16" x14ac:dyDescent="0.2"/>
  <cols>
    <col min="1" max="1" width="4.6640625" style="4" hidden="1" customWidth="1"/>
    <col min="2" max="2" width="15.5" style="4" customWidth="1"/>
    <col min="3" max="3" width="57.5" style="1" customWidth="1"/>
    <col min="4" max="4" width="27.83203125" style="328" hidden="1" customWidth="1"/>
    <col min="5" max="5" width="17.5" style="1" bestFit="1" customWidth="1"/>
    <col min="6" max="6" width="8.83203125" style="1" customWidth="1"/>
    <col min="7" max="7" width="19.6640625" style="1" customWidth="1"/>
    <col min="8" max="8" width="19.1640625" style="1" customWidth="1"/>
    <col min="9" max="9" width="19.6640625" style="1" customWidth="1"/>
    <col min="10" max="10" width="19.1640625" style="1" customWidth="1"/>
    <col min="11" max="16384" width="8.83203125" style="1"/>
  </cols>
  <sheetData>
    <row r="1" spans="1:5" ht="40.5" customHeight="1" x14ac:dyDescent="0.2">
      <c r="A1" s="304" t="s">
        <v>154</v>
      </c>
      <c r="B1" s="336" t="s">
        <v>155</v>
      </c>
      <c r="C1" s="323" t="s">
        <v>308</v>
      </c>
      <c r="D1" s="329"/>
      <c r="E1" s="324" t="s">
        <v>376</v>
      </c>
    </row>
    <row r="2" spans="1:5" ht="20.25" customHeight="1" x14ac:dyDescent="0.2">
      <c r="A2" s="305"/>
      <c r="B2" s="337"/>
      <c r="C2" s="106" t="s">
        <v>309</v>
      </c>
      <c r="D2" s="156"/>
      <c r="E2" s="303" t="s">
        <v>306</v>
      </c>
    </row>
    <row r="3" spans="1:5" x14ac:dyDescent="0.2">
      <c r="A3" s="7">
        <v>1</v>
      </c>
      <c r="B3" s="307">
        <v>77</v>
      </c>
      <c r="C3" s="308" t="s">
        <v>310</v>
      </c>
      <c r="D3" s="330" t="str">
        <f>CONCATENATE(B3,"   ",C3)</f>
        <v>77      Москва (+до 30 км МКАД)</v>
      </c>
      <c r="E3" s="309">
        <v>210</v>
      </c>
    </row>
    <row r="4" spans="1:5" x14ac:dyDescent="0.2">
      <c r="A4" s="7">
        <v>2</v>
      </c>
      <c r="B4" s="8" t="s">
        <v>311</v>
      </c>
      <c r="C4" s="308" t="s">
        <v>312</v>
      </c>
      <c r="D4" s="330" t="str">
        <f t="shared" ref="D4:D52" si="0">CONCATENATE(B4,"   ",C4)</f>
        <v>78      Санкт-Петербург</v>
      </c>
      <c r="E4" s="309">
        <v>190</v>
      </c>
    </row>
    <row r="5" spans="1:5" x14ac:dyDescent="0.2">
      <c r="A5" s="7">
        <v>3</v>
      </c>
      <c r="B5" s="8" t="s">
        <v>313</v>
      </c>
      <c r="C5" s="310" t="s">
        <v>314</v>
      </c>
      <c r="D5" s="330" t="str">
        <f t="shared" si="0"/>
        <v>29      Архангельск</v>
      </c>
      <c r="E5" s="309">
        <v>180</v>
      </c>
    </row>
    <row r="6" spans="1:5" x14ac:dyDescent="0.2">
      <c r="A6" s="7">
        <v>4</v>
      </c>
      <c r="B6" s="8" t="s">
        <v>159</v>
      </c>
      <c r="C6" s="308" t="s">
        <v>315</v>
      </c>
      <c r="D6" s="330" t="str">
        <f t="shared" si="0"/>
        <v>04      Барнаул</v>
      </c>
      <c r="E6" s="309">
        <v>160</v>
      </c>
    </row>
    <row r="7" spans="1:5" x14ac:dyDescent="0.2">
      <c r="A7" s="7">
        <v>5</v>
      </c>
      <c r="B7" s="8" t="s">
        <v>316</v>
      </c>
      <c r="C7" s="310" t="s">
        <v>317</v>
      </c>
      <c r="D7" s="330" t="str">
        <f t="shared" si="0"/>
        <v>31      Белгород</v>
      </c>
      <c r="E7" s="309">
        <v>142</v>
      </c>
    </row>
    <row r="8" spans="1:5" x14ac:dyDescent="0.2">
      <c r="A8" s="7">
        <v>6</v>
      </c>
      <c r="B8" s="8" t="s">
        <v>318</v>
      </c>
      <c r="C8" s="308" t="s">
        <v>319</v>
      </c>
      <c r="D8" s="330" t="str">
        <f t="shared" si="0"/>
        <v>25      Владивосток</v>
      </c>
      <c r="E8" s="309">
        <v>150</v>
      </c>
    </row>
    <row r="9" spans="1:5" x14ac:dyDescent="0.2">
      <c r="A9" s="7">
        <v>7</v>
      </c>
      <c r="B9" s="8" t="s">
        <v>320</v>
      </c>
      <c r="C9" s="311" t="s">
        <v>321</v>
      </c>
      <c r="D9" s="330" t="str">
        <f t="shared" si="0"/>
        <v>34      Волгоград</v>
      </c>
      <c r="E9" s="309">
        <v>133</v>
      </c>
    </row>
    <row r="10" spans="1:5" x14ac:dyDescent="0.2">
      <c r="A10" s="7">
        <v>8</v>
      </c>
      <c r="B10" s="8" t="s">
        <v>322</v>
      </c>
      <c r="C10" s="311" t="s">
        <v>323</v>
      </c>
      <c r="D10" s="330" t="str">
        <f t="shared" si="0"/>
        <v>36      Воронеж</v>
      </c>
      <c r="E10" s="309">
        <v>147</v>
      </c>
    </row>
    <row r="11" spans="1:5" x14ac:dyDescent="0.2">
      <c r="A11" s="7">
        <v>9</v>
      </c>
      <c r="B11" s="8" t="s">
        <v>181</v>
      </c>
      <c r="C11" s="311" t="s">
        <v>324</v>
      </c>
      <c r="D11" s="330" t="str">
        <f t="shared" si="0"/>
        <v>66      Екатеринбург</v>
      </c>
      <c r="E11" s="309">
        <v>180</v>
      </c>
    </row>
    <row r="12" spans="1:5" x14ac:dyDescent="0.2">
      <c r="A12" s="7">
        <v>10</v>
      </c>
      <c r="B12" s="8" t="s">
        <v>325</v>
      </c>
      <c r="C12" s="311" t="s">
        <v>326</v>
      </c>
      <c r="D12" s="330" t="str">
        <f t="shared" si="0"/>
        <v>37      Иваново</v>
      </c>
      <c r="E12" s="309">
        <v>155</v>
      </c>
    </row>
    <row r="13" spans="1:5" x14ac:dyDescent="0.2">
      <c r="A13" s="7">
        <v>11</v>
      </c>
      <c r="B13" s="7">
        <v>38</v>
      </c>
      <c r="C13" s="311" t="s">
        <v>327</v>
      </c>
      <c r="D13" s="330" t="str">
        <f t="shared" si="0"/>
        <v>38      Иркутск</v>
      </c>
      <c r="E13" s="309">
        <v>170</v>
      </c>
    </row>
    <row r="14" spans="1:5" x14ac:dyDescent="0.2">
      <c r="A14" s="7">
        <v>12</v>
      </c>
      <c r="B14" s="7">
        <v>16</v>
      </c>
      <c r="C14" s="311" t="s">
        <v>328</v>
      </c>
      <c r="D14" s="330" t="str">
        <f t="shared" si="0"/>
        <v>16      Казань</v>
      </c>
      <c r="E14" s="309">
        <v>160</v>
      </c>
    </row>
    <row r="15" spans="1:5" x14ac:dyDescent="0.2">
      <c r="A15" s="7">
        <v>13</v>
      </c>
      <c r="B15" s="8" t="s">
        <v>329</v>
      </c>
      <c r="C15" s="311" t="s">
        <v>330</v>
      </c>
      <c r="D15" s="330" t="str">
        <f t="shared" si="0"/>
        <v>39      Калининград</v>
      </c>
      <c r="E15" s="309">
        <v>175</v>
      </c>
    </row>
    <row r="16" spans="1:5" x14ac:dyDescent="0.2">
      <c r="A16" s="7">
        <v>14</v>
      </c>
      <c r="B16" s="8" t="s">
        <v>331</v>
      </c>
      <c r="C16" s="311" t="s">
        <v>332</v>
      </c>
      <c r="D16" s="330" t="str">
        <f t="shared" si="0"/>
        <v>40      Калуга</v>
      </c>
      <c r="E16" s="309">
        <v>142</v>
      </c>
    </row>
    <row r="17" spans="1:5" x14ac:dyDescent="0.2">
      <c r="A17" s="7">
        <v>15</v>
      </c>
      <c r="B17" s="7">
        <v>42</v>
      </c>
      <c r="C17" s="311" t="s">
        <v>333</v>
      </c>
      <c r="D17" s="330" t="str">
        <f t="shared" si="0"/>
        <v>42      Кемерово</v>
      </c>
      <c r="E17" s="309">
        <v>160</v>
      </c>
    </row>
    <row r="18" spans="1:5" x14ac:dyDescent="0.2">
      <c r="A18" s="7">
        <v>16</v>
      </c>
      <c r="B18" s="8" t="s">
        <v>334</v>
      </c>
      <c r="C18" s="311" t="s">
        <v>335</v>
      </c>
      <c r="D18" s="330" t="str">
        <f t="shared" si="0"/>
        <v>44      Кострома</v>
      </c>
      <c r="E18" s="309">
        <v>170</v>
      </c>
    </row>
    <row r="19" spans="1:5" x14ac:dyDescent="0.2">
      <c r="A19" s="7">
        <v>17</v>
      </c>
      <c r="B19" s="8" t="s">
        <v>336</v>
      </c>
      <c r="C19" s="311" t="s">
        <v>337</v>
      </c>
      <c r="D19" s="330" t="str">
        <f t="shared" si="0"/>
        <v>23      Краснодар</v>
      </c>
      <c r="E19" s="309">
        <v>152</v>
      </c>
    </row>
    <row r="20" spans="1:5" x14ac:dyDescent="0.2">
      <c r="A20" s="7">
        <v>18</v>
      </c>
      <c r="B20" s="7">
        <v>24</v>
      </c>
      <c r="C20" s="311" t="s">
        <v>338</v>
      </c>
      <c r="D20" s="330" t="str">
        <f t="shared" si="0"/>
        <v>24      Красноярск</v>
      </c>
      <c r="E20" s="309">
        <v>170</v>
      </c>
    </row>
    <row r="21" spans="1:5" x14ac:dyDescent="0.2">
      <c r="A21" s="7">
        <v>19</v>
      </c>
      <c r="B21" s="8" t="s">
        <v>339</v>
      </c>
      <c r="C21" s="311" t="s">
        <v>340</v>
      </c>
      <c r="D21" s="330" t="str">
        <f t="shared" si="0"/>
        <v>46      Курск</v>
      </c>
      <c r="E21" s="309">
        <v>123</v>
      </c>
    </row>
    <row r="22" spans="1:5" x14ac:dyDescent="0.2">
      <c r="A22" s="7">
        <v>20</v>
      </c>
      <c r="B22" s="7">
        <v>48</v>
      </c>
      <c r="C22" s="311" t="s">
        <v>341</v>
      </c>
      <c r="D22" s="330" t="str">
        <f t="shared" si="0"/>
        <v>48      Липецк</v>
      </c>
      <c r="E22" s="309">
        <v>137</v>
      </c>
    </row>
    <row r="23" spans="1:5" x14ac:dyDescent="0.2">
      <c r="A23" s="7">
        <v>21</v>
      </c>
      <c r="B23" s="8" t="s">
        <v>168</v>
      </c>
      <c r="C23" s="311" t="s">
        <v>342</v>
      </c>
      <c r="D23" s="330" t="str">
        <f t="shared" si="0"/>
        <v>16      Набережные Челны</v>
      </c>
      <c r="E23" s="309">
        <v>140</v>
      </c>
    </row>
    <row r="24" spans="1:5" x14ac:dyDescent="0.2">
      <c r="A24" s="7">
        <v>22</v>
      </c>
      <c r="B24" s="8" t="s">
        <v>175</v>
      </c>
      <c r="C24" s="311" t="s">
        <v>343</v>
      </c>
      <c r="D24" s="330" t="str">
        <f t="shared" si="0"/>
        <v xml:space="preserve">52      Нижний Новгород </v>
      </c>
      <c r="E24" s="309">
        <v>170</v>
      </c>
    </row>
    <row r="25" spans="1:5" x14ac:dyDescent="0.2">
      <c r="A25" s="7">
        <v>23</v>
      </c>
      <c r="B25" s="7">
        <v>54</v>
      </c>
      <c r="C25" s="311" t="s">
        <v>344</v>
      </c>
      <c r="D25" s="330" t="str">
        <f t="shared" si="0"/>
        <v>54      Новосибирск</v>
      </c>
      <c r="E25" s="309">
        <v>170</v>
      </c>
    </row>
    <row r="26" spans="1:5" x14ac:dyDescent="0.2">
      <c r="A26" s="7">
        <v>24</v>
      </c>
      <c r="B26" s="7">
        <v>55</v>
      </c>
      <c r="C26" s="311" t="s">
        <v>345</v>
      </c>
      <c r="D26" s="330" t="str">
        <f t="shared" si="0"/>
        <v>55      Омск</v>
      </c>
      <c r="E26" s="309">
        <v>100</v>
      </c>
    </row>
    <row r="27" spans="1:5" x14ac:dyDescent="0.2">
      <c r="A27" s="7">
        <v>25</v>
      </c>
      <c r="B27" s="10">
        <v>57</v>
      </c>
      <c r="C27" s="311" t="s">
        <v>346</v>
      </c>
      <c r="D27" s="330" t="str">
        <f t="shared" si="0"/>
        <v>57      Орел</v>
      </c>
      <c r="E27" s="309">
        <v>120</v>
      </c>
    </row>
    <row r="28" spans="1:5" x14ac:dyDescent="0.2">
      <c r="A28" s="7">
        <v>26</v>
      </c>
      <c r="B28" s="7">
        <v>56</v>
      </c>
      <c r="C28" s="311" t="s">
        <v>347</v>
      </c>
      <c r="D28" s="330" t="str">
        <f t="shared" si="0"/>
        <v>56      Оренбург</v>
      </c>
      <c r="E28" s="309">
        <v>160</v>
      </c>
    </row>
    <row r="29" spans="1:5" x14ac:dyDescent="0.2">
      <c r="A29" s="7">
        <v>27</v>
      </c>
      <c r="B29" s="8" t="s">
        <v>177</v>
      </c>
      <c r="C29" s="311" t="s">
        <v>348</v>
      </c>
      <c r="D29" s="330" t="str">
        <f t="shared" si="0"/>
        <v>58      Пенза</v>
      </c>
      <c r="E29" s="309">
        <v>127</v>
      </c>
    </row>
    <row r="30" spans="1:5" x14ac:dyDescent="0.2">
      <c r="A30" s="7">
        <v>28</v>
      </c>
      <c r="B30" s="7">
        <v>59</v>
      </c>
      <c r="C30" s="311" t="s">
        <v>349</v>
      </c>
      <c r="D30" s="330" t="str">
        <f t="shared" si="0"/>
        <v>59      Пермь</v>
      </c>
      <c r="E30" s="309">
        <v>170</v>
      </c>
    </row>
    <row r="31" spans="1:5" x14ac:dyDescent="0.2">
      <c r="A31" s="7">
        <v>29</v>
      </c>
      <c r="B31" s="7">
        <v>10</v>
      </c>
      <c r="C31" s="311" t="s">
        <v>350</v>
      </c>
      <c r="D31" s="330" t="str">
        <f t="shared" si="0"/>
        <v>10      Петрозаводск</v>
      </c>
      <c r="E31" s="309">
        <v>170</v>
      </c>
    </row>
    <row r="32" spans="1:5" x14ac:dyDescent="0.2">
      <c r="A32" s="7">
        <v>30</v>
      </c>
      <c r="B32" s="7">
        <v>60</v>
      </c>
      <c r="C32" s="311" t="s">
        <v>351</v>
      </c>
      <c r="D32" s="330" t="str">
        <f t="shared" si="0"/>
        <v>60      Псков</v>
      </c>
      <c r="E32" s="309">
        <v>170</v>
      </c>
    </row>
    <row r="33" spans="1:5" x14ac:dyDescent="0.2">
      <c r="A33" s="7">
        <v>31</v>
      </c>
      <c r="B33" s="7">
        <v>61</v>
      </c>
      <c r="C33" s="311" t="s">
        <v>352</v>
      </c>
      <c r="D33" s="330" t="str">
        <f t="shared" si="0"/>
        <v>61      Ростов-на-Дону</v>
      </c>
      <c r="E33" s="309">
        <v>147</v>
      </c>
    </row>
    <row r="34" spans="1:5" x14ac:dyDescent="0.2">
      <c r="A34" s="7">
        <v>32</v>
      </c>
      <c r="B34" s="7">
        <v>62</v>
      </c>
      <c r="C34" s="311" t="s">
        <v>353</v>
      </c>
      <c r="D34" s="330" t="str">
        <f t="shared" si="0"/>
        <v>62      Рязань</v>
      </c>
      <c r="E34" s="309">
        <v>142</v>
      </c>
    </row>
    <row r="35" spans="1:5" x14ac:dyDescent="0.2">
      <c r="A35" s="7">
        <v>33</v>
      </c>
      <c r="B35" s="7">
        <v>63</v>
      </c>
      <c r="C35" s="311" t="s">
        <v>354</v>
      </c>
      <c r="D35" s="330" t="str">
        <f t="shared" si="0"/>
        <v xml:space="preserve">63      Самара </v>
      </c>
      <c r="E35" s="309">
        <v>130</v>
      </c>
    </row>
    <row r="36" spans="1:5" x14ac:dyDescent="0.2">
      <c r="A36" s="7">
        <v>34</v>
      </c>
      <c r="B36" s="7">
        <v>13</v>
      </c>
      <c r="C36" s="311" t="s">
        <v>355</v>
      </c>
      <c r="D36" s="330" t="str">
        <f t="shared" si="0"/>
        <v xml:space="preserve">13      Саранск </v>
      </c>
      <c r="E36" s="309">
        <v>123</v>
      </c>
    </row>
    <row r="37" spans="1:5" x14ac:dyDescent="0.2">
      <c r="A37" s="7">
        <v>35</v>
      </c>
      <c r="B37" s="7">
        <v>64</v>
      </c>
      <c r="C37" s="311" t="s">
        <v>356</v>
      </c>
      <c r="D37" s="330" t="str">
        <f t="shared" si="0"/>
        <v xml:space="preserve">64      Саратов </v>
      </c>
      <c r="E37" s="309">
        <v>130</v>
      </c>
    </row>
    <row r="38" spans="1:5" x14ac:dyDescent="0.2">
      <c r="A38" s="7">
        <v>36</v>
      </c>
      <c r="B38" s="7">
        <v>91</v>
      </c>
      <c r="C38" s="311" t="s">
        <v>357</v>
      </c>
      <c r="D38" s="330" t="str">
        <f t="shared" si="0"/>
        <v>91      Симферополь</v>
      </c>
      <c r="E38" s="309">
        <v>140</v>
      </c>
    </row>
    <row r="39" spans="1:5" x14ac:dyDescent="0.2">
      <c r="A39" s="7">
        <v>37</v>
      </c>
      <c r="B39" s="7">
        <v>92</v>
      </c>
      <c r="C39" s="311" t="s">
        <v>358</v>
      </c>
      <c r="D39" s="330" t="str">
        <f t="shared" si="0"/>
        <v>92      Севастополь</v>
      </c>
      <c r="E39" s="309">
        <v>140</v>
      </c>
    </row>
    <row r="40" spans="1:5" x14ac:dyDescent="0.2">
      <c r="A40" s="7">
        <v>38</v>
      </c>
      <c r="B40" s="7">
        <v>67</v>
      </c>
      <c r="C40" s="311" t="s">
        <v>359</v>
      </c>
      <c r="D40" s="330" t="str">
        <f t="shared" si="0"/>
        <v xml:space="preserve">67      Смоленск </v>
      </c>
      <c r="E40" s="309">
        <v>126</v>
      </c>
    </row>
    <row r="41" spans="1:5" x14ac:dyDescent="0.2">
      <c r="A41" s="7">
        <v>39</v>
      </c>
      <c r="B41" s="10">
        <v>26</v>
      </c>
      <c r="C41" s="311" t="s">
        <v>360</v>
      </c>
      <c r="D41" s="330" t="str">
        <f t="shared" si="0"/>
        <v xml:space="preserve">26      Ставрополь </v>
      </c>
      <c r="E41" s="309">
        <v>120</v>
      </c>
    </row>
    <row r="42" spans="1:5" x14ac:dyDescent="0.2">
      <c r="A42" s="7">
        <v>40</v>
      </c>
      <c r="B42" s="7">
        <v>86</v>
      </c>
      <c r="C42" s="311" t="s">
        <v>361</v>
      </c>
      <c r="D42" s="330" t="str">
        <f t="shared" si="0"/>
        <v>86      Сургут</v>
      </c>
      <c r="E42" s="309">
        <v>200</v>
      </c>
    </row>
    <row r="43" spans="1:5" x14ac:dyDescent="0.2">
      <c r="A43" s="7">
        <v>41</v>
      </c>
      <c r="B43" s="7">
        <v>23</v>
      </c>
      <c r="C43" s="311" t="s">
        <v>362</v>
      </c>
      <c r="D43" s="330" t="str">
        <f t="shared" si="0"/>
        <v>23      Сочи</v>
      </c>
      <c r="E43" s="309">
        <v>170</v>
      </c>
    </row>
    <row r="44" spans="1:5" x14ac:dyDescent="0.2">
      <c r="A44" s="7">
        <v>42</v>
      </c>
      <c r="B44" s="7">
        <v>69</v>
      </c>
      <c r="C44" s="312" t="s">
        <v>363</v>
      </c>
      <c r="D44" s="330" t="str">
        <f t="shared" si="0"/>
        <v xml:space="preserve">69      Тверь </v>
      </c>
      <c r="E44" s="309">
        <v>170</v>
      </c>
    </row>
    <row r="45" spans="1:5" x14ac:dyDescent="0.2">
      <c r="A45" s="7">
        <v>43</v>
      </c>
      <c r="B45" s="7">
        <v>63</v>
      </c>
      <c r="C45" s="311" t="s">
        <v>364</v>
      </c>
      <c r="D45" s="330" t="str">
        <f t="shared" si="0"/>
        <v xml:space="preserve">63      Тольятти </v>
      </c>
      <c r="E45" s="309">
        <v>120</v>
      </c>
    </row>
    <row r="46" spans="1:5" x14ac:dyDescent="0.2">
      <c r="A46" s="7">
        <v>44</v>
      </c>
      <c r="B46" s="8" t="s">
        <v>365</v>
      </c>
      <c r="C46" s="311" t="s">
        <v>366</v>
      </c>
      <c r="D46" s="330" t="str">
        <f t="shared" si="0"/>
        <v>71      Тула</v>
      </c>
      <c r="E46" s="309">
        <v>160</v>
      </c>
    </row>
    <row r="47" spans="1:5" x14ac:dyDescent="0.2">
      <c r="A47" s="7">
        <v>45</v>
      </c>
      <c r="B47" s="7">
        <v>72</v>
      </c>
      <c r="C47" s="311" t="s">
        <v>367</v>
      </c>
      <c r="D47" s="330" t="str">
        <f t="shared" si="0"/>
        <v xml:space="preserve">72      Тюмень </v>
      </c>
      <c r="E47" s="309">
        <v>220</v>
      </c>
    </row>
    <row r="48" spans="1:5" x14ac:dyDescent="0.2">
      <c r="A48" s="7">
        <v>46</v>
      </c>
      <c r="B48" s="8" t="s">
        <v>368</v>
      </c>
      <c r="C48" s="311" t="s">
        <v>369</v>
      </c>
      <c r="D48" s="330" t="str">
        <f t="shared" si="0"/>
        <v xml:space="preserve">27      Хабаровск </v>
      </c>
      <c r="E48" s="309">
        <v>215</v>
      </c>
    </row>
    <row r="49" spans="1:5" x14ac:dyDescent="0.2">
      <c r="A49" s="7">
        <v>47</v>
      </c>
      <c r="B49" s="7">
        <v>74</v>
      </c>
      <c r="C49" s="311" t="s">
        <v>370</v>
      </c>
      <c r="D49" s="330" t="str">
        <f t="shared" si="0"/>
        <v xml:space="preserve">74      Челябинск </v>
      </c>
      <c r="E49" s="309">
        <v>170</v>
      </c>
    </row>
    <row r="50" spans="1:5" x14ac:dyDescent="0.2">
      <c r="A50" s="7">
        <v>48</v>
      </c>
      <c r="B50" s="7">
        <v>35</v>
      </c>
      <c r="C50" s="311" t="s">
        <v>371</v>
      </c>
      <c r="D50" s="330" t="str">
        <f t="shared" si="0"/>
        <v>35      Череповец</v>
      </c>
      <c r="E50" s="309">
        <v>180</v>
      </c>
    </row>
    <row r="51" spans="1:5" x14ac:dyDescent="0.2">
      <c r="A51" s="7">
        <v>49</v>
      </c>
      <c r="B51" s="7">
        <v>75</v>
      </c>
      <c r="C51" s="313" t="s">
        <v>372</v>
      </c>
      <c r="D51" s="330" t="str">
        <f t="shared" si="0"/>
        <v>75      Уфа</v>
      </c>
      <c r="E51" s="309">
        <v>180</v>
      </c>
    </row>
    <row r="52" spans="1:5" ht="17" thickBot="1" x14ac:dyDescent="0.25">
      <c r="A52" s="7">
        <v>50</v>
      </c>
      <c r="B52" s="314">
        <v>76</v>
      </c>
      <c r="C52" s="315" t="s">
        <v>373</v>
      </c>
      <c r="D52" s="330" t="str">
        <f t="shared" si="0"/>
        <v>76      Ярославль</v>
      </c>
      <c r="E52" s="317">
        <v>150</v>
      </c>
    </row>
    <row r="53" spans="1:5" x14ac:dyDescent="0.2">
      <c r="A53" s="7">
        <v>51</v>
      </c>
      <c r="B53" s="318" t="s">
        <v>156</v>
      </c>
      <c r="C53" s="319" t="s">
        <v>150</v>
      </c>
      <c r="D53" s="330" t="str">
        <f>CONCATENATE(B53,"      ",C53)</f>
        <v xml:space="preserve">01      Республика Адыгея </v>
      </c>
      <c r="E53" s="320">
        <v>125</v>
      </c>
    </row>
    <row r="54" spans="1:5" x14ac:dyDescent="0.2">
      <c r="A54" s="7">
        <v>52</v>
      </c>
      <c r="B54" s="8" t="s">
        <v>157</v>
      </c>
      <c r="C54" s="9" t="s">
        <v>103</v>
      </c>
      <c r="D54" s="330" t="str">
        <f t="shared" ref="D54:D117" si="1">CONCATENATE(B54,"      ",C54)</f>
        <v>02      Республика Башкортостан</v>
      </c>
      <c r="E54" s="321">
        <v>160</v>
      </c>
    </row>
    <row r="55" spans="1:5" x14ac:dyDescent="0.2">
      <c r="A55" s="7">
        <v>53</v>
      </c>
      <c r="B55" s="8" t="s">
        <v>158</v>
      </c>
      <c r="C55" s="9" t="s">
        <v>127</v>
      </c>
      <c r="D55" s="330" t="str">
        <f t="shared" si="1"/>
        <v>03      Республика Бурятия</v>
      </c>
      <c r="E55" s="321">
        <v>170</v>
      </c>
    </row>
    <row r="56" spans="1:5" x14ac:dyDescent="0.2">
      <c r="A56" s="7">
        <v>54</v>
      </c>
      <c r="B56" s="8" t="s">
        <v>159</v>
      </c>
      <c r="C56" s="9" t="s">
        <v>118</v>
      </c>
      <c r="D56" s="330" t="str">
        <f t="shared" si="1"/>
        <v>04      Республика Алтай</v>
      </c>
      <c r="E56" s="321">
        <v>160</v>
      </c>
    </row>
    <row r="57" spans="1:5" x14ac:dyDescent="0.2">
      <c r="A57" s="7">
        <v>55</v>
      </c>
      <c r="B57" s="8" t="s">
        <v>160</v>
      </c>
      <c r="C57" s="9" t="s">
        <v>140</v>
      </c>
      <c r="D57" s="330" t="str">
        <f t="shared" si="1"/>
        <v>05      Республика Дагестан</v>
      </c>
      <c r="E57" s="321">
        <v>120</v>
      </c>
    </row>
    <row r="58" spans="1:5" x14ac:dyDescent="0.2">
      <c r="A58" s="7">
        <v>56</v>
      </c>
      <c r="B58" s="8" t="s">
        <v>161</v>
      </c>
      <c r="C58" s="9" t="s">
        <v>141</v>
      </c>
      <c r="D58" s="330" t="str">
        <f t="shared" si="1"/>
        <v>06      Республика Ингушетия</v>
      </c>
      <c r="E58" s="321">
        <v>120</v>
      </c>
    </row>
    <row r="59" spans="1:5" x14ac:dyDescent="0.2">
      <c r="A59" s="7">
        <v>57</v>
      </c>
      <c r="B59" s="8" t="s">
        <v>162</v>
      </c>
      <c r="C59" s="9" t="s">
        <v>142</v>
      </c>
      <c r="D59" s="330" t="str">
        <f t="shared" si="1"/>
        <v>07      Кабардино-Балкарская Республика</v>
      </c>
      <c r="E59" s="321">
        <v>120</v>
      </c>
    </row>
    <row r="60" spans="1:5" x14ac:dyDescent="0.2">
      <c r="A60" s="7">
        <v>58</v>
      </c>
      <c r="B60" s="8" t="s">
        <v>163</v>
      </c>
      <c r="C60" s="9" t="s">
        <v>97</v>
      </c>
      <c r="D60" s="330" t="str">
        <f t="shared" si="1"/>
        <v>08      Республика Калмыкия</v>
      </c>
      <c r="E60" s="321">
        <v>120</v>
      </c>
    </row>
    <row r="61" spans="1:5" x14ac:dyDescent="0.2">
      <c r="A61" s="7">
        <v>59</v>
      </c>
      <c r="B61" s="8" t="s">
        <v>164</v>
      </c>
      <c r="C61" s="9" t="s">
        <v>143</v>
      </c>
      <c r="D61" s="330" t="str">
        <f t="shared" si="1"/>
        <v>09      Карачаево-Черкесская Республика</v>
      </c>
      <c r="E61" s="321">
        <v>120</v>
      </c>
    </row>
    <row r="62" spans="1:5" x14ac:dyDescent="0.2">
      <c r="A62" s="7">
        <v>60</v>
      </c>
      <c r="B62" s="7">
        <v>10</v>
      </c>
      <c r="C62" s="9" t="s">
        <v>88</v>
      </c>
      <c r="D62" s="330" t="str">
        <f t="shared" si="1"/>
        <v>10      Республика Карелия</v>
      </c>
      <c r="E62" s="321">
        <v>170</v>
      </c>
    </row>
    <row r="63" spans="1:5" x14ac:dyDescent="0.2">
      <c r="A63" s="7">
        <v>61</v>
      </c>
      <c r="B63" s="7">
        <v>11</v>
      </c>
      <c r="C63" s="9" t="s">
        <v>89</v>
      </c>
      <c r="D63" s="330" t="str">
        <f t="shared" si="1"/>
        <v>11      Республика Коми</v>
      </c>
      <c r="E63" s="321">
        <v>190</v>
      </c>
    </row>
    <row r="64" spans="1:5" x14ac:dyDescent="0.2">
      <c r="A64" s="7">
        <v>62</v>
      </c>
      <c r="B64" s="8" t="s">
        <v>165</v>
      </c>
      <c r="C64" s="9" t="s">
        <v>104</v>
      </c>
      <c r="D64" s="330" t="str">
        <f t="shared" si="1"/>
        <v>12      Республика Марий Эл</v>
      </c>
      <c r="E64" s="321">
        <v>140</v>
      </c>
    </row>
    <row r="65" spans="1:5" x14ac:dyDescent="0.2">
      <c r="A65" s="7">
        <v>63</v>
      </c>
      <c r="B65" s="8" t="s">
        <v>166</v>
      </c>
      <c r="C65" s="9" t="s">
        <v>105</v>
      </c>
      <c r="D65" s="330" t="str">
        <f t="shared" si="1"/>
        <v>13      Республика Мордовия</v>
      </c>
      <c r="E65" s="321">
        <v>125</v>
      </c>
    </row>
    <row r="66" spans="1:5" x14ac:dyDescent="0.2">
      <c r="A66" s="7">
        <v>64</v>
      </c>
      <c r="B66" s="7">
        <v>14</v>
      </c>
      <c r="C66" s="9" t="s">
        <v>128</v>
      </c>
      <c r="D66" s="330" t="str">
        <f t="shared" si="1"/>
        <v>14      Республика Саха (Якутия)</v>
      </c>
      <c r="E66" s="321">
        <v>220</v>
      </c>
    </row>
    <row r="67" spans="1:5" x14ac:dyDescent="0.2">
      <c r="A67" s="7">
        <v>65</v>
      </c>
      <c r="B67" s="8" t="s">
        <v>167</v>
      </c>
      <c r="C67" s="9" t="s">
        <v>144</v>
      </c>
      <c r="D67" s="330" t="str">
        <f t="shared" si="1"/>
        <v>15      Республика Северная Осетия-Алания</v>
      </c>
      <c r="E67" s="321">
        <v>125</v>
      </c>
    </row>
    <row r="68" spans="1:5" x14ac:dyDescent="0.2">
      <c r="A68" s="7">
        <v>66</v>
      </c>
      <c r="B68" s="8" t="s">
        <v>168</v>
      </c>
      <c r="C68" s="9" t="s">
        <v>147</v>
      </c>
      <c r="D68" s="330" t="str">
        <f t="shared" si="1"/>
        <v>16      Республика Татарстан (Татарстан)</v>
      </c>
      <c r="E68" s="321">
        <v>124</v>
      </c>
    </row>
    <row r="69" spans="1:5" x14ac:dyDescent="0.2">
      <c r="A69" s="7">
        <v>67</v>
      </c>
      <c r="B69" s="7">
        <v>17</v>
      </c>
      <c r="C69" s="9" t="s">
        <v>119</v>
      </c>
      <c r="D69" s="330" t="str">
        <f t="shared" si="1"/>
        <v>17      Республика Тыва</v>
      </c>
      <c r="E69" s="321">
        <v>190</v>
      </c>
    </row>
    <row r="70" spans="1:5" x14ac:dyDescent="0.2">
      <c r="A70" s="7">
        <v>68</v>
      </c>
      <c r="B70" s="8" t="s">
        <v>169</v>
      </c>
      <c r="C70" s="9" t="s">
        <v>106</v>
      </c>
      <c r="D70" s="330" t="str">
        <f t="shared" si="1"/>
        <v>18      Удмуртская Республика</v>
      </c>
      <c r="E70" s="321">
        <v>180</v>
      </c>
    </row>
    <row r="71" spans="1:5" x14ac:dyDescent="0.2">
      <c r="A71" s="7">
        <v>69</v>
      </c>
      <c r="B71" s="7">
        <v>19</v>
      </c>
      <c r="C71" s="9" t="s">
        <v>120</v>
      </c>
      <c r="D71" s="330" t="str">
        <f t="shared" si="1"/>
        <v>19      Республика Хакасия</v>
      </c>
      <c r="E71" s="321">
        <v>170</v>
      </c>
    </row>
    <row r="72" spans="1:5" x14ac:dyDescent="0.2">
      <c r="A72" s="7">
        <v>70</v>
      </c>
      <c r="B72" s="8" t="s">
        <v>170</v>
      </c>
      <c r="C72" s="9" t="s">
        <v>145</v>
      </c>
      <c r="D72" s="330" t="str">
        <f t="shared" si="1"/>
        <v>20      Чеченская Республика</v>
      </c>
      <c r="E72" s="321">
        <v>140</v>
      </c>
    </row>
    <row r="73" spans="1:5" x14ac:dyDescent="0.2">
      <c r="A73" s="7">
        <v>71</v>
      </c>
      <c r="B73" s="8" t="s">
        <v>171</v>
      </c>
      <c r="C73" s="9" t="s">
        <v>148</v>
      </c>
      <c r="D73" s="330" t="str">
        <f t="shared" si="1"/>
        <v>21      Чувашская Республика - Чувашия</v>
      </c>
      <c r="E73" s="321">
        <v>140</v>
      </c>
    </row>
    <row r="74" spans="1:5" x14ac:dyDescent="0.2">
      <c r="A74" s="7">
        <v>72</v>
      </c>
      <c r="B74" s="7">
        <v>22</v>
      </c>
      <c r="C74" s="9" t="s">
        <v>121</v>
      </c>
      <c r="D74" s="330" t="str">
        <f t="shared" si="1"/>
        <v>22      Алтайский край</v>
      </c>
      <c r="E74" s="321">
        <v>170</v>
      </c>
    </row>
    <row r="75" spans="1:5" x14ac:dyDescent="0.2">
      <c r="A75" s="7">
        <v>73</v>
      </c>
      <c r="B75" s="7">
        <v>23</v>
      </c>
      <c r="C75" s="9" t="s">
        <v>99</v>
      </c>
      <c r="D75" s="330" t="str">
        <f t="shared" si="1"/>
        <v>23      Краснодарский край</v>
      </c>
      <c r="E75" s="321">
        <v>133</v>
      </c>
    </row>
    <row r="76" spans="1:5" x14ac:dyDescent="0.2">
      <c r="A76" s="7">
        <v>74</v>
      </c>
      <c r="B76" s="10">
        <v>24</v>
      </c>
      <c r="C76" s="9" t="s">
        <v>122</v>
      </c>
      <c r="D76" s="330" t="str">
        <f t="shared" si="1"/>
        <v>24      Красноярский край</v>
      </c>
      <c r="E76" s="321">
        <v>160</v>
      </c>
    </row>
    <row r="77" spans="1:5" x14ac:dyDescent="0.2">
      <c r="A77" s="7">
        <v>75</v>
      </c>
      <c r="B77" s="7">
        <v>25</v>
      </c>
      <c r="C77" s="9" t="s">
        <v>131</v>
      </c>
      <c r="D77" s="330" t="str">
        <f t="shared" si="1"/>
        <v>25      Приморский край</v>
      </c>
      <c r="E77" s="321">
        <v>150</v>
      </c>
    </row>
    <row r="78" spans="1:5" x14ac:dyDescent="0.2">
      <c r="A78" s="7">
        <v>76</v>
      </c>
      <c r="B78" s="8" t="s">
        <v>172</v>
      </c>
      <c r="C78" s="9" t="s">
        <v>146</v>
      </c>
      <c r="D78" s="330" t="str">
        <f t="shared" si="1"/>
        <v>26      Ставропольский край</v>
      </c>
      <c r="E78" s="321">
        <v>140</v>
      </c>
    </row>
    <row r="79" spans="1:5" x14ac:dyDescent="0.2">
      <c r="A79" s="7">
        <v>77</v>
      </c>
      <c r="B79" s="7">
        <v>27</v>
      </c>
      <c r="C79" s="9" t="s">
        <v>132</v>
      </c>
      <c r="D79" s="330" t="str">
        <f t="shared" si="1"/>
        <v>27      Хабаровский край</v>
      </c>
      <c r="E79" s="321">
        <v>200</v>
      </c>
    </row>
    <row r="80" spans="1:5" x14ac:dyDescent="0.2">
      <c r="A80" s="7">
        <v>78</v>
      </c>
      <c r="B80" s="7">
        <v>28</v>
      </c>
      <c r="C80" s="9" t="s">
        <v>133</v>
      </c>
      <c r="D80" s="330" t="str">
        <f t="shared" si="1"/>
        <v>28      Амурская область</v>
      </c>
      <c r="E80" s="321">
        <v>190</v>
      </c>
    </row>
    <row r="81" spans="1:5" x14ac:dyDescent="0.2">
      <c r="A81" s="7">
        <v>79</v>
      </c>
      <c r="B81" s="7">
        <v>29</v>
      </c>
      <c r="C81" s="9" t="s">
        <v>90</v>
      </c>
      <c r="D81" s="330" t="str">
        <f t="shared" si="1"/>
        <v>29      Архангельская область</v>
      </c>
      <c r="E81" s="321">
        <v>170</v>
      </c>
    </row>
    <row r="82" spans="1:5" x14ac:dyDescent="0.2">
      <c r="A82" s="7">
        <v>80</v>
      </c>
      <c r="B82" s="7">
        <v>30</v>
      </c>
      <c r="C82" s="9" t="s">
        <v>100</v>
      </c>
      <c r="D82" s="330" t="str">
        <f t="shared" si="1"/>
        <v>30      Астраханская область</v>
      </c>
      <c r="E82" s="321">
        <v>130</v>
      </c>
    </row>
    <row r="83" spans="1:5" x14ac:dyDescent="0.2">
      <c r="A83" s="7">
        <v>81</v>
      </c>
      <c r="B83" s="7">
        <v>31</v>
      </c>
      <c r="C83" s="11" t="s">
        <v>72</v>
      </c>
      <c r="D83" s="330" t="str">
        <f t="shared" si="1"/>
        <v>31      Белгородская область</v>
      </c>
      <c r="E83" s="321">
        <v>121</v>
      </c>
    </row>
    <row r="84" spans="1:5" x14ac:dyDescent="0.2">
      <c r="A84" s="7">
        <v>82</v>
      </c>
      <c r="B84" s="7">
        <v>32</v>
      </c>
      <c r="C84" s="12" t="s">
        <v>73</v>
      </c>
      <c r="D84" s="330" t="str">
        <f t="shared" si="1"/>
        <v>32      Брянская область</v>
      </c>
      <c r="E84" s="321">
        <v>102</v>
      </c>
    </row>
    <row r="85" spans="1:5" x14ac:dyDescent="0.2">
      <c r="A85" s="7">
        <v>83</v>
      </c>
      <c r="B85" s="7">
        <v>33</v>
      </c>
      <c r="C85" s="11" t="s">
        <v>74</v>
      </c>
      <c r="D85" s="330" t="str">
        <f t="shared" si="1"/>
        <v>33      Владимирская область</v>
      </c>
      <c r="E85" s="321">
        <v>140</v>
      </c>
    </row>
    <row r="86" spans="1:5" x14ac:dyDescent="0.2">
      <c r="A86" s="7">
        <v>84</v>
      </c>
      <c r="B86" s="7">
        <v>34</v>
      </c>
      <c r="C86" s="9" t="s">
        <v>101</v>
      </c>
      <c r="D86" s="330" t="str">
        <f t="shared" si="1"/>
        <v>34      Волгоградская область</v>
      </c>
      <c r="E86" s="321">
        <v>105</v>
      </c>
    </row>
    <row r="87" spans="1:5" x14ac:dyDescent="0.2">
      <c r="A87" s="7">
        <v>85</v>
      </c>
      <c r="B87" s="7">
        <v>35</v>
      </c>
      <c r="C87" s="9" t="s">
        <v>91</v>
      </c>
      <c r="D87" s="330" t="str">
        <f t="shared" si="1"/>
        <v>35      Вологодская область</v>
      </c>
      <c r="E87" s="321">
        <v>130</v>
      </c>
    </row>
    <row r="88" spans="1:5" x14ac:dyDescent="0.2">
      <c r="B88" s="7">
        <v>36</v>
      </c>
      <c r="C88" s="11" t="s">
        <v>75</v>
      </c>
      <c r="D88" s="330" t="str">
        <f t="shared" si="1"/>
        <v>36      Воронежская область</v>
      </c>
      <c r="E88" s="321">
        <v>115</v>
      </c>
    </row>
    <row r="89" spans="1:5" x14ac:dyDescent="0.2">
      <c r="B89" s="7">
        <v>37</v>
      </c>
      <c r="C89" s="11" t="s">
        <v>76</v>
      </c>
      <c r="D89" s="330" t="str">
        <f t="shared" si="1"/>
        <v>37      Ивановская область</v>
      </c>
      <c r="E89" s="321">
        <v>132</v>
      </c>
    </row>
    <row r="90" spans="1:5" x14ac:dyDescent="0.2">
      <c r="B90" s="13">
        <v>38</v>
      </c>
      <c r="C90" s="9" t="s">
        <v>123</v>
      </c>
      <c r="D90" s="330" t="str">
        <f t="shared" si="1"/>
        <v>38      Иркутская область</v>
      </c>
      <c r="E90" s="321">
        <v>160</v>
      </c>
    </row>
    <row r="91" spans="1:5" x14ac:dyDescent="0.2">
      <c r="B91" s="7">
        <v>39</v>
      </c>
      <c r="C91" s="9" t="s">
        <v>92</v>
      </c>
      <c r="D91" s="330" t="str">
        <f t="shared" si="1"/>
        <v>39      Калининградская область</v>
      </c>
      <c r="E91" s="321">
        <v>140</v>
      </c>
    </row>
    <row r="92" spans="1:5" x14ac:dyDescent="0.2">
      <c r="B92" s="7">
        <v>40</v>
      </c>
      <c r="C92" s="11" t="s">
        <v>77</v>
      </c>
      <c r="D92" s="330" t="str">
        <f t="shared" si="1"/>
        <v>40      Калужская область</v>
      </c>
      <c r="E92" s="321">
        <v>119</v>
      </c>
    </row>
    <row r="93" spans="1:5" x14ac:dyDescent="0.2">
      <c r="B93" s="7">
        <v>41</v>
      </c>
      <c r="C93" s="9" t="s">
        <v>130</v>
      </c>
      <c r="D93" s="330" t="str">
        <f t="shared" si="1"/>
        <v>41      Камчатский край</v>
      </c>
      <c r="E93" s="321">
        <v>250</v>
      </c>
    </row>
    <row r="94" spans="1:5" x14ac:dyDescent="0.2">
      <c r="B94" s="7">
        <v>42</v>
      </c>
      <c r="C94" s="9" t="s">
        <v>137</v>
      </c>
      <c r="D94" s="330" t="str">
        <f t="shared" si="1"/>
        <v>42      Кемеровская область - Кузбасс</v>
      </c>
      <c r="E94" s="321">
        <v>150</v>
      </c>
    </row>
    <row r="95" spans="1:5" x14ac:dyDescent="0.2">
      <c r="B95" s="8" t="s">
        <v>173</v>
      </c>
      <c r="C95" s="9" t="s">
        <v>108</v>
      </c>
      <c r="D95" s="330" t="str">
        <f t="shared" si="1"/>
        <v>43      Кировская область</v>
      </c>
      <c r="E95" s="321">
        <v>140</v>
      </c>
    </row>
    <row r="96" spans="1:5" x14ac:dyDescent="0.2">
      <c r="B96" s="7">
        <v>44</v>
      </c>
      <c r="C96" s="11" t="s">
        <v>78</v>
      </c>
      <c r="D96" s="330" t="str">
        <f t="shared" si="1"/>
        <v>44      Костромская область</v>
      </c>
      <c r="E96" s="321">
        <v>130</v>
      </c>
    </row>
    <row r="97" spans="2:5" x14ac:dyDescent="0.2">
      <c r="B97" s="8" t="s">
        <v>174</v>
      </c>
      <c r="C97" s="9" t="s">
        <v>115</v>
      </c>
      <c r="D97" s="330" t="str">
        <f t="shared" si="1"/>
        <v>45      Курганская область</v>
      </c>
      <c r="E97" s="321">
        <v>140</v>
      </c>
    </row>
    <row r="98" spans="2:5" x14ac:dyDescent="0.2">
      <c r="B98" s="7">
        <v>46</v>
      </c>
      <c r="C98" s="11" t="s">
        <v>79</v>
      </c>
      <c r="D98" s="330" t="str">
        <f t="shared" si="1"/>
        <v>46      Курская область</v>
      </c>
      <c r="E98" s="321">
        <v>95</v>
      </c>
    </row>
    <row r="99" spans="2:5" x14ac:dyDescent="0.2">
      <c r="B99" s="7">
        <v>47</v>
      </c>
      <c r="C99" s="9" t="s">
        <v>93</v>
      </c>
      <c r="D99" s="330" t="str">
        <f t="shared" si="1"/>
        <v>47      Ленинградская область</v>
      </c>
      <c r="E99" s="321">
        <v>170</v>
      </c>
    </row>
    <row r="100" spans="2:5" x14ac:dyDescent="0.2">
      <c r="B100" s="7">
        <v>48</v>
      </c>
      <c r="C100" s="11" t="s">
        <v>80</v>
      </c>
      <c r="D100" s="330" t="str">
        <f t="shared" si="1"/>
        <v>48      Липецкая область</v>
      </c>
      <c r="E100" s="321">
        <v>110</v>
      </c>
    </row>
    <row r="101" spans="2:5" x14ac:dyDescent="0.2">
      <c r="B101" s="7">
        <v>49</v>
      </c>
      <c r="C101" s="9" t="s">
        <v>134</v>
      </c>
      <c r="D101" s="330" t="str">
        <f t="shared" si="1"/>
        <v>49      Магаданская область</v>
      </c>
      <c r="E101" s="321">
        <v>240</v>
      </c>
    </row>
    <row r="102" spans="2:5" x14ac:dyDescent="0.2">
      <c r="B102" s="14">
        <v>50</v>
      </c>
      <c r="C102" s="11" t="s">
        <v>136</v>
      </c>
      <c r="D102" s="330" t="str">
        <f t="shared" si="1"/>
        <v>50      Московская область</v>
      </c>
      <c r="E102" s="321">
        <v>200</v>
      </c>
    </row>
    <row r="103" spans="2:5" x14ac:dyDescent="0.2">
      <c r="B103" s="7">
        <v>51</v>
      </c>
      <c r="C103" s="9" t="s">
        <v>94</v>
      </c>
      <c r="D103" s="330" t="str">
        <f t="shared" si="1"/>
        <v>51      Мурманская область</v>
      </c>
      <c r="E103" s="321">
        <v>170</v>
      </c>
    </row>
    <row r="104" spans="2:5" x14ac:dyDescent="0.2">
      <c r="B104" s="8" t="s">
        <v>175</v>
      </c>
      <c r="C104" s="9" t="s">
        <v>109</v>
      </c>
      <c r="D104" s="330" t="str">
        <f t="shared" si="1"/>
        <v>52      Нижегородская область</v>
      </c>
      <c r="E104" s="321">
        <v>150</v>
      </c>
    </row>
    <row r="105" spans="2:5" x14ac:dyDescent="0.2">
      <c r="B105" s="7">
        <v>53</v>
      </c>
      <c r="C105" s="9" t="s">
        <v>95</v>
      </c>
      <c r="D105" s="330" t="str">
        <f t="shared" si="1"/>
        <v>53      Новгородская область</v>
      </c>
      <c r="E105" s="321">
        <v>160</v>
      </c>
    </row>
    <row r="106" spans="2:5" x14ac:dyDescent="0.2">
      <c r="B106" s="7">
        <v>54</v>
      </c>
      <c r="C106" s="9" t="s">
        <v>124</v>
      </c>
      <c r="D106" s="330" t="str">
        <f t="shared" si="1"/>
        <v>54      Новосибирская область</v>
      </c>
      <c r="E106" s="321">
        <v>160</v>
      </c>
    </row>
    <row r="107" spans="2:5" x14ac:dyDescent="0.2">
      <c r="B107" s="7">
        <v>55</v>
      </c>
      <c r="C107" s="9" t="s">
        <v>125</v>
      </c>
      <c r="D107" s="330" t="str">
        <f t="shared" si="1"/>
        <v>55      Омская область</v>
      </c>
      <c r="E107" s="321">
        <v>95</v>
      </c>
    </row>
    <row r="108" spans="2:5" x14ac:dyDescent="0.2">
      <c r="B108" s="8" t="s">
        <v>176</v>
      </c>
      <c r="C108" s="9" t="s">
        <v>110</v>
      </c>
      <c r="D108" s="330" t="str">
        <f t="shared" si="1"/>
        <v>56      Оренбургская область</v>
      </c>
      <c r="E108" s="321">
        <v>160</v>
      </c>
    </row>
    <row r="109" spans="2:5" x14ac:dyDescent="0.2">
      <c r="B109" s="7">
        <v>57</v>
      </c>
      <c r="C109" s="11" t="s">
        <v>81</v>
      </c>
      <c r="D109" s="330" t="str">
        <f t="shared" si="1"/>
        <v>57      Орловская область</v>
      </c>
      <c r="E109" s="321">
        <v>95</v>
      </c>
    </row>
    <row r="110" spans="2:5" x14ac:dyDescent="0.2">
      <c r="B110" s="8" t="s">
        <v>177</v>
      </c>
      <c r="C110" s="9" t="s">
        <v>111</v>
      </c>
      <c r="D110" s="330" t="str">
        <f t="shared" si="1"/>
        <v>58      Пензенская область</v>
      </c>
      <c r="E110" s="321">
        <v>99</v>
      </c>
    </row>
    <row r="111" spans="2:5" x14ac:dyDescent="0.2">
      <c r="B111" s="8" t="s">
        <v>178</v>
      </c>
      <c r="C111" s="9" t="s">
        <v>107</v>
      </c>
      <c r="D111" s="330" t="str">
        <f t="shared" si="1"/>
        <v>59      Пермский край</v>
      </c>
      <c r="E111" s="321">
        <v>170</v>
      </c>
    </row>
    <row r="112" spans="2:5" x14ac:dyDescent="0.2">
      <c r="B112" s="7">
        <v>60</v>
      </c>
      <c r="C112" s="9" t="s">
        <v>96</v>
      </c>
      <c r="D112" s="330" t="str">
        <f t="shared" si="1"/>
        <v>60      Псковская область</v>
      </c>
      <c r="E112" s="321">
        <v>160</v>
      </c>
    </row>
    <row r="113" spans="2:5" x14ac:dyDescent="0.2">
      <c r="B113" s="7">
        <v>61</v>
      </c>
      <c r="C113" s="9" t="s">
        <v>102</v>
      </c>
      <c r="D113" s="330" t="str">
        <f t="shared" si="1"/>
        <v>61      Ростовская область</v>
      </c>
      <c r="E113" s="321">
        <v>115</v>
      </c>
    </row>
    <row r="114" spans="2:5" x14ac:dyDescent="0.2">
      <c r="B114" s="7">
        <v>62</v>
      </c>
      <c r="C114" s="11" t="s">
        <v>82</v>
      </c>
      <c r="D114" s="330" t="str">
        <f t="shared" si="1"/>
        <v>62      Рязанская область</v>
      </c>
      <c r="E114" s="321">
        <v>119</v>
      </c>
    </row>
    <row r="115" spans="2:5" x14ac:dyDescent="0.2">
      <c r="B115" s="8" t="s">
        <v>179</v>
      </c>
      <c r="C115" s="9" t="s">
        <v>112</v>
      </c>
      <c r="D115" s="330" t="str">
        <f t="shared" si="1"/>
        <v>63      Самарская область</v>
      </c>
      <c r="E115" s="321">
        <v>130</v>
      </c>
    </row>
    <row r="116" spans="2:5" x14ac:dyDescent="0.2">
      <c r="B116" s="8" t="s">
        <v>180</v>
      </c>
      <c r="C116" s="9" t="s">
        <v>113</v>
      </c>
      <c r="D116" s="330" t="str">
        <f t="shared" si="1"/>
        <v>64      Саратовская область</v>
      </c>
      <c r="E116" s="321">
        <v>102</v>
      </c>
    </row>
    <row r="117" spans="2:5" x14ac:dyDescent="0.2">
      <c r="B117" s="7">
        <v>65</v>
      </c>
      <c r="C117" s="9" t="s">
        <v>135</v>
      </c>
      <c r="D117" s="330" t="str">
        <f t="shared" si="1"/>
        <v>65      Сахалинская область</v>
      </c>
      <c r="E117" s="321">
        <v>230</v>
      </c>
    </row>
    <row r="118" spans="2:5" x14ac:dyDescent="0.2">
      <c r="B118" s="8" t="s">
        <v>181</v>
      </c>
      <c r="C118" s="9" t="s">
        <v>116</v>
      </c>
      <c r="D118" s="330" t="str">
        <f t="shared" ref="D118:D134" si="2">CONCATENATE(B118,"      ",C118)</f>
        <v>66      Свердловская область</v>
      </c>
      <c r="E118" s="321">
        <v>170</v>
      </c>
    </row>
    <row r="119" spans="2:5" x14ac:dyDescent="0.2">
      <c r="B119" s="7">
        <v>67</v>
      </c>
      <c r="C119" s="11" t="s">
        <v>83</v>
      </c>
      <c r="D119" s="330" t="str">
        <f t="shared" si="2"/>
        <v>67      Смоленская область</v>
      </c>
      <c r="E119" s="321">
        <v>109</v>
      </c>
    </row>
    <row r="120" spans="2:5" x14ac:dyDescent="0.2">
      <c r="B120" s="7">
        <v>68</v>
      </c>
      <c r="C120" s="9" t="s">
        <v>84</v>
      </c>
      <c r="D120" s="330" t="str">
        <f t="shared" si="2"/>
        <v>68      Тамбовская область</v>
      </c>
      <c r="E120" s="321">
        <v>95</v>
      </c>
    </row>
    <row r="121" spans="2:5" x14ac:dyDescent="0.2">
      <c r="B121" s="7">
        <v>69</v>
      </c>
      <c r="C121" s="9" t="s">
        <v>85</v>
      </c>
      <c r="D121" s="330" t="str">
        <f t="shared" si="2"/>
        <v>69      Тверская область</v>
      </c>
      <c r="E121" s="321">
        <v>120</v>
      </c>
    </row>
    <row r="122" spans="2:5" x14ac:dyDescent="0.2">
      <c r="B122" s="7">
        <v>70</v>
      </c>
      <c r="C122" s="9" t="s">
        <v>126</v>
      </c>
      <c r="D122" s="330" t="str">
        <f t="shared" si="2"/>
        <v>70      Томская область</v>
      </c>
      <c r="E122" s="321">
        <v>170</v>
      </c>
    </row>
    <row r="123" spans="2:5" x14ac:dyDescent="0.2">
      <c r="B123" s="7">
        <v>71</v>
      </c>
      <c r="C123" s="9" t="s">
        <v>86</v>
      </c>
      <c r="D123" s="330" t="str">
        <f t="shared" si="2"/>
        <v>71      Тульская область</v>
      </c>
      <c r="E123" s="321">
        <v>119</v>
      </c>
    </row>
    <row r="124" spans="2:5" x14ac:dyDescent="0.2">
      <c r="B124" s="8" t="s">
        <v>182</v>
      </c>
      <c r="C124" s="9" t="s">
        <v>153</v>
      </c>
      <c r="D124" s="330" t="str">
        <f t="shared" si="2"/>
        <v xml:space="preserve">72      Тюменская область </v>
      </c>
      <c r="E124" s="321">
        <v>180</v>
      </c>
    </row>
    <row r="125" spans="2:5" x14ac:dyDescent="0.2">
      <c r="B125" s="8" t="s">
        <v>183</v>
      </c>
      <c r="C125" s="15" t="s">
        <v>114</v>
      </c>
      <c r="D125" s="330" t="str">
        <f t="shared" si="2"/>
        <v>73      Ульяновская область</v>
      </c>
      <c r="E125" s="321">
        <v>140</v>
      </c>
    </row>
    <row r="126" spans="2:5" x14ac:dyDescent="0.2">
      <c r="B126" s="8" t="s">
        <v>184</v>
      </c>
      <c r="C126" s="9" t="s">
        <v>117</v>
      </c>
      <c r="D126" s="330" t="str">
        <f t="shared" si="2"/>
        <v>74      Челябинская область</v>
      </c>
      <c r="E126" s="321">
        <v>170</v>
      </c>
    </row>
    <row r="127" spans="2:5" x14ac:dyDescent="0.2">
      <c r="B127" s="7">
        <v>75</v>
      </c>
      <c r="C127" s="9" t="s">
        <v>129</v>
      </c>
      <c r="D127" s="330" t="str">
        <f t="shared" si="2"/>
        <v>75      Забайкальский край</v>
      </c>
      <c r="E127" s="321">
        <v>170</v>
      </c>
    </row>
    <row r="128" spans="2:5" x14ac:dyDescent="0.2">
      <c r="B128" s="7">
        <v>76</v>
      </c>
      <c r="C128" s="9" t="s">
        <v>87</v>
      </c>
      <c r="D128" s="330" t="str">
        <f t="shared" si="2"/>
        <v>76      Ярославская область</v>
      </c>
      <c r="E128" s="321">
        <v>130</v>
      </c>
    </row>
    <row r="129" spans="2:5" x14ac:dyDescent="0.2">
      <c r="B129" s="7">
        <v>79</v>
      </c>
      <c r="C129" s="9" t="s">
        <v>138</v>
      </c>
      <c r="D129" s="330" t="str">
        <f t="shared" si="2"/>
        <v>79      Еврейская автономная область</v>
      </c>
      <c r="E129" s="321">
        <v>190</v>
      </c>
    </row>
    <row r="130" spans="2:5" x14ac:dyDescent="0.2">
      <c r="B130" s="7">
        <v>83</v>
      </c>
      <c r="C130" s="9" t="s">
        <v>149</v>
      </c>
      <c r="D130" s="330" t="str">
        <f t="shared" si="2"/>
        <v xml:space="preserve">83      Ненецкий автономный округ </v>
      </c>
      <c r="E130" s="321">
        <v>190</v>
      </c>
    </row>
    <row r="131" spans="2:5" x14ac:dyDescent="0.2">
      <c r="B131" s="8" t="s">
        <v>185</v>
      </c>
      <c r="C131" s="9" t="s">
        <v>151</v>
      </c>
      <c r="D131" s="330" t="str">
        <f t="shared" si="2"/>
        <v xml:space="preserve">86      Ханты-Мансийский автономный округ - Югра </v>
      </c>
      <c r="E131" s="321">
        <v>200</v>
      </c>
    </row>
    <row r="132" spans="2:5" x14ac:dyDescent="0.2">
      <c r="B132" s="7">
        <v>87</v>
      </c>
      <c r="C132" s="9" t="s">
        <v>139</v>
      </c>
      <c r="D132" s="330" t="str">
        <f t="shared" si="2"/>
        <v>87      Чукотский автономный округ</v>
      </c>
      <c r="E132" s="321">
        <v>200</v>
      </c>
    </row>
    <row r="133" spans="2:5" x14ac:dyDescent="0.2">
      <c r="B133" s="8" t="s">
        <v>186</v>
      </c>
      <c r="C133" s="9" t="s">
        <v>152</v>
      </c>
      <c r="D133" s="330" t="str">
        <f t="shared" si="2"/>
        <v xml:space="preserve">89      Ямало-Ненецкий автономный округ </v>
      </c>
      <c r="E133" s="321">
        <v>200</v>
      </c>
    </row>
    <row r="134" spans="2:5" ht="17" thickBot="1" x14ac:dyDescent="0.25">
      <c r="B134" s="314">
        <v>91</v>
      </c>
      <c r="C134" s="316" t="s">
        <v>98</v>
      </c>
      <c r="D134" s="330" t="str">
        <f t="shared" si="2"/>
        <v>91      Республика Крым</v>
      </c>
      <c r="E134" s="322">
        <v>140</v>
      </c>
    </row>
    <row r="135" spans="2:5" ht="17" thickBot="1" x14ac:dyDescent="0.25">
      <c r="C135" s="16"/>
      <c r="D135" s="306"/>
    </row>
    <row r="136" spans="2:5" ht="17" thickBot="1" x14ac:dyDescent="0.25">
      <c r="C136" s="17"/>
      <c r="D136" s="325"/>
    </row>
    <row r="137" spans="2:5" ht="17" thickBot="1" x14ac:dyDescent="0.25">
      <c r="C137" s="16"/>
      <c r="D137" s="306"/>
    </row>
    <row r="138" spans="2:5" ht="17" thickBot="1" x14ac:dyDescent="0.25">
      <c r="C138" s="16"/>
      <c r="D138" s="306"/>
    </row>
    <row r="139" spans="2:5" ht="17" thickBot="1" x14ac:dyDescent="0.25">
      <c r="C139" s="16"/>
      <c r="D139" s="306"/>
    </row>
    <row r="140" spans="2:5" ht="17" thickBot="1" x14ac:dyDescent="0.25">
      <c r="C140" s="16"/>
      <c r="D140" s="306"/>
    </row>
    <row r="141" spans="2:5" ht="17" thickBot="1" x14ac:dyDescent="0.25">
      <c r="C141" s="16"/>
      <c r="D141" s="306"/>
    </row>
    <row r="142" spans="2:5" ht="17" thickBot="1" x14ac:dyDescent="0.25">
      <c r="C142" s="16"/>
      <c r="D142" s="306"/>
    </row>
    <row r="143" spans="2:5" ht="17" thickBot="1" x14ac:dyDescent="0.25">
      <c r="C143" s="16"/>
      <c r="D143" s="306"/>
    </row>
    <row r="144" spans="2:5" ht="17" thickBot="1" x14ac:dyDescent="0.25">
      <c r="C144" s="16"/>
      <c r="D144" s="306"/>
    </row>
    <row r="145" spans="3:4" ht="17" thickBot="1" x14ac:dyDescent="0.25">
      <c r="C145" s="16"/>
      <c r="D145" s="306"/>
    </row>
    <row r="146" spans="3:4" ht="17" thickBot="1" x14ac:dyDescent="0.25">
      <c r="C146" s="16"/>
      <c r="D146" s="306"/>
    </row>
    <row r="147" spans="3:4" ht="17" thickBot="1" x14ac:dyDescent="0.25">
      <c r="C147" s="16"/>
      <c r="D147" s="306"/>
    </row>
    <row r="148" spans="3:4" ht="17" thickBot="1" x14ac:dyDescent="0.25">
      <c r="C148" s="16"/>
      <c r="D148" s="306"/>
    </row>
    <row r="149" spans="3:4" ht="17" thickBot="1" x14ac:dyDescent="0.25">
      <c r="C149" s="16"/>
      <c r="D149" s="306"/>
    </row>
    <row r="150" spans="3:4" ht="17" thickBot="1" x14ac:dyDescent="0.25">
      <c r="C150" s="16"/>
      <c r="D150" s="306"/>
    </row>
    <row r="151" spans="3:4" ht="17" thickBot="1" x14ac:dyDescent="0.25">
      <c r="C151" s="16"/>
      <c r="D151" s="306"/>
    </row>
    <row r="152" spans="3:4" ht="17" thickBot="1" x14ac:dyDescent="0.25">
      <c r="C152" s="16"/>
      <c r="D152" s="306"/>
    </row>
    <row r="153" spans="3:4" ht="17" thickBot="1" x14ac:dyDescent="0.25">
      <c r="C153" s="16"/>
      <c r="D153" s="306"/>
    </row>
    <row r="154" spans="3:4" ht="17" thickBot="1" x14ac:dyDescent="0.25">
      <c r="C154" s="16"/>
      <c r="D154" s="306"/>
    </row>
    <row r="155" spans="3:4" ht="17" thickBot="1" x14ac:dyDescent="0.25">
      <c r="C155" s="16"/>
      <c r="D155" s="306"/>
    </row>
    <row r="156" spans="3:4" ht="17" thickBot="1" x14ac:dyDescent="0.25">
      <c r="C156" s="16"/>
      <c r="D156" s="306"/>
    </row>
    <row r="157" spans="3:4" ht="17" thickBot="1" x14ac:dyDescent="0.25">
      <c r="C157" s="16"/>
      <c r="D157" s="306"/>
    </row>
    <row r="158" spans="3:4" ht="17" thickBot="1" x14ac:dyDescent="0.25">
      <c r="C158" s="16"/>
      <c r="D158" s="306"/>
    </row>
    <row r="159" spans="3:4" ht="17" thickBot="1" x14ac:dyDescent="0.25">
      <c r="C159" s="16"/>
      <c r="D159" s="306"/>
    </row>
    <row r="160" spans="3:4" ht="17" thickBot="1" x14ac:dyDescent="0.25">
      <c r="C160" s="16"/>
      <c r="D160" s="306"/>
    </row>
    <row r="161" spans="3:4" ht="17" thickBot="1" x14ac:dyDescent="0.25">
      <c r="C161" s="16"/>
      <c r="D161" s="306"/>
    </row>
    <row r="162" spans="3:4" ht="17" thickBot="1" x14ac:dyDescent="0.25">
      <c r="C162" s="16"/>
      <c r="D162" s="306"/>
    </row>
    <row r="163" spans="3:4" ht="17" thickBot="1" x14ac:dyDescent="0.25">
      <c r="C163" s="16"/>
      <c r="D163" s="306"/>
    </row>
    <row r="164" spans="3:4" ht="17" thickBot="1" x14ac:dyDescent="0.25">
      <c r="C164" s="16"/>
      <c r="D164" s="306"/>
    </row>
    <row r="165" spans="3:4" ht="17" thickBot="1" x14ac:dyDescent="0.25">
      <c r="C165" s="16"/>
      <c r="D165" s="306"/>
    </row>
    <row r="166" spans="3:4" ht="17" thickBot="1" x14ac:dyDescent="0.25">
      <c r="C166" s="16"/>
      <c r="D166" s="306"/>
    </row>
    <row r="167" spans="3:4" ht="17" thickBot="1" x14ac:dyDescent="0.25">
      <c r="C167" s="16"/>
      <c r="D167" s="306"/>
    </row>
    <row r="168" spans="3:4" ht="17" thickBot="1" x14ac:dyDescent="0.25">
      <c r="C168" s="18"/>
      <c r="D168" s="326"/>
    </row>
    <row r="169" spans="3:4" ht="17" thickBot="1" x14ac:dyDescent="0.25">
      <c r="C169" s="17"/>
      <c r="D169" s="325"/>
    </row>
    <row r="170" spans="3:4" ht="17" thickBot="1" x14ac:dyDescent="0.25">
      <c r="C170" s="16"/>
      <c r="D170" s="306"/>
    </row>
    <row r="171" spans="3:4" ht="17" thickBot="1" x14ac:dyDescent="0.25">
      <c r="C171" s="16"/>
      <c r="D171" s="306"/>
    </row>
    <row r="172" spans="3:4" ht="17" thickBot="1" x14ac:dyDescent="0.25">
      <c r="C172" s="16"/>
      <c r="D172" s="306"/>
    </row>
    <row r="173" spans="3:4" ht="17" thickBot="1" x14ac:dyDescent="0.25">
      <c r="C173" s="16"/>
      <c r="D173" s="306"/>
    </row>
    <row r="174" spans="3:4" ht="17" thickBot="1" x14ac:dyDescent="0.25">
      <c r="C174" s="16"/>
      <c r="D174" s="306"/>
    </row>
    <row r="175" spans="3:4" ht="17" thickBot="1" x14ac:dyDescent="0.25">
      <c r="C175" s="19"/>
      <c r="D175" s="327"/>
    </row>
  </sheetData>
  <sheetProtection password="E8A8" sheet="1" objects="1" scenarios="1"/>
  <mergeCells count="1">
    <mergeCell ref="B1: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77"/>
  <sheetViews>
    <sheetView showGridLines="0" zoomScale="80" zoomScaleNormal="80" workbookViewId="0">
      <pane xSplit="2" ySplit="10" topLeftCell="C60" activePane="bottomRight" state="frozen"/>
      <selection pane="topRight" activeCell="C1" sqref="C1"/>
      <selection pane="bottomLeft" activeCell="A4" sqref="A4"/>
      <selection pane="bottomRight" activeCell="C5" sqref="C5:F5"/>
    </sheetView>
  </sheetViews>
  <sheetFormatPr baseColWidth="10" defaultColWidth="9.1640625" defaultRowHeight="16" x14ac:dyDescent="0.2"/>
  <cols>
    <col min="1" max="1" width="3" style="1" customWidth="1"/>
    <col min="2" max="2" width="93.6640625" style="1" customWidth="1"/>
    <col min="3" max="3" width="21" style="1" bestFit="1" customWidth="1"/>
    <col min="4" max="4" width="49" style="1" customWidth="1"/>
    <col min="5" max="5" width="23.5" style="1" bestFit="1" customWidth="1"/>
    <col min="6" max="6" width="18.5" style="1" bestFit="1" customWidth="1"/>
    <col min="7" max="8" width="22.5" style="1" customWidth="1"/>
    <col min="9" max="9" width="13.1640625" style="21" customWidth="1"/>
    <col min="10" max="10" width="48.5" style="1" customWidth="1"/>
    <col min="11" max="16384" width="9.1640625" style="1"/>
  </cols>
  <sheetData>
    <row r="1" spans="2:10" x14ac:dyDescent="0.2">
      <c r="B1" s="20" t="s">
        <v>69</v>
      </c>
      <c r="C1" s="342" t="s">
        <v>217</v>
      </c>
      <c r="D1" s="342"/>
      <c r="E1" s="342"/>
      <c r="F1" s="342"/>
      <c r="J1" s="22"/>
    </row>
    <row r="2" spans="2:10" hidden="1" x14ac:dyDescent="0.2">
      <c r="B2" s="300" t="s">
        <v>218</v>
      </c>
      <c r="C2" s="343" t="s">
        <v>219</v>
      </c>
      <c r="D2" s="344"/>
      <c r="E2" s="344"/>
      <c r="F2" s="345"/>
      <c r="J2" s="22"/>
    </row>
    <row r="3" spans="2:10" x14ac:dyDescent="0.2">
      <c r="B3" s="20" t="s">
        <v>70</v>
      </c>
      <c r="C3" s="342"/>
      <c r="D3" s="342"/>
      <c r="E3" s="342"/>
      <c r="F3" s="342"/>
      <c r="J3" s="22"/>
    </row>
    <row r="4" spans="2:10" x14ac:dyDescent="0.2">
      <c r="B4" s="20" t="s">
        <v>67</v>
      </c>
      <c r="C4" s="342" t="s">
        <v>377</v>
      </c>
      <c r="D4" s="342"/>
      <c r="E4" s="342"/>
      <c r="F4" s="342"/>
      <c r="J4" s="22"/>
    </row>
    <row r="5" spans="2:10" x14ac:dyDescent="0.2">
      <c r="B5" s="20" t="s">
        <v>71</v>
      </c>
      <c r="C5" s="342" t="s">
        <v>190</v>
      </c>
      <c r="D5" s="342"/>
      <c r="E5" s="342"/>
      <c r="F5" s="342"/>
      <c r="J5" s="22"/>
    </row>
    <row r="6" spans="2:10" x14ac:dyDescent="0.2">
      <c r="B6" s="20" t="s">
        <v>199</v>
      </c>
      <c r="C6" s="342" t="s">
        <v>284</v>
      </c>
      <c r="D6" s="342"/>
      <c r="E6" s="342"/>
      <c r="F6" s="342"/>
      <c r="J6" s="22"/>
    </row>
    <row r="7" spans="2:10" x14ac:dyDescent="0.2">
      <c r="B7" s="20" t="s">
        <v>68</v>
      </c>
      <c r="C7" s="342">
        <v>20000</v>
      </c>
      <c r="D7" s="342"/>
      <c r="E7" s="342"/>
      <c r="F7" s="342"/>
      <c r="J7" s="22"/>
    </row>
    <row r="9" spans="2:10" ht="17" thickBot="1" x14ac:dyDescent="0.25">
      <c r="B9" s="2" t="s">
        <v>60</v>
      </c>
      <c r="C9" s="2"/>
      <c r="D9" s="2"/>
      <c r="E9" s="20" t="s">
        <v>63</v>
      </c>
      <c r="F9" s="23">
        <v>12</v>
      </c>
    </row>
    <row r="10" spans="2:10" ht="51" x14ac:dyDescent="0.2">
      <c r="B10" s="229" t="s">
        <v>18</v>
      </c>
      <c r="C10" s="230"/>
      <c r="D10" s="230" t="s">
        <v>233</v>
      </c>
      <c r="E10" s="230"/>
      <c r="F10" s="230"/>
      <c r="G10" s="230" t="s">
        <v>252</v>
      </c>
      <c r="H10" s="230" t="s">
        <v>253</v>
      </c>
      <c r="I10" s="230" t="s">
        <v>265</v>
      </c>
      <c r="J10" s="231" t="s">
        <v>17</v>
      </c>
    </row>
    <row r="11" spans="2:10" ht="22.5" customHeight="1" x14ac:dyDescent="0.2">
      <c r="B11" s="232" t="s">
        <v>30</v>
      </c>
      <c r="C11" s="24"/>
      <c r="D11" s="25"/>
      <c r="E11" s="25"/>
      <c r="F11" s="26"/>
      <c r="G11" s="27">
        <f>SUM(G12,G13)</f>
        <v>1214544.615964676</v>
      </c>
      <c r="H11" s="28">
        <f>SUM(H12,H13)</f>
        <v>14574535.391576111</v>
      </c>
      <c r="I11" s="29">
        <f t="shared" ref="I11:I16" si="0">IF($H$69=0,"",H11/$H$69)</f>
        <v>0.74115260522522608</v>
      </c>
      <c r="J11" s="203"/>
    </row>
    <row r="12" spans="2:10" ht="24.75" customHeight="1" x14ac:dyDescent="0.2">
      <c r="B12" s="233" t="s">
        <v>194</v>
      </c>
      <c r="C12" s="30"/>
      <c r="D12" s="31"/>
      <c r="E12" s="31"/>
      <c r="F12" s="32"/>
      <c r="G12" s="33">
        <f>H12/$F$9</f>
        <v>811242.06800657313</v>
      </c>
      <c r="H12" s="33">
        <f>SUM('Расчет ФОТ'!P7:T7)-'Расчет ФОТ'!U7</f>
        <v>9734904.8160788771</v>
      </c>
      <c r="I12" s="204">
        <f t="shared" si="0"/>
        <v>0.49504494463862386</v>
      </c>
      <c r="J12" s="205"/>
    </row>
    <row r="13" spans="2:10" ht="22.5" customHeight="1" x14ac:dyDescent="0.2">
      <c r="B13" s="234" t="s">
        <v>24</v>
      </c>
      <c r="C13" s="34"/>
      <c r="D13" s="149"/>
      <c r="E13" s="149"/>
      <c r="F13" s="235"/>
      <c r="G13" s="35">
        <f>H13/$F$9</f>
        <v>403302.54795810283</v>
      </c>
      <c r="H13" s="236">
        <f>SUM(H14:H15)</f>
        <v>4839630.5754972342</v>
      </c>
      <c r="I13" s="29">
        <f t="shared" si="0"/>
        <v>0.24610766058660224</v>
      </c>
      <c r="J13" s="206"/>
    </row>
    <row r="14" spans="2:10" x14ac:dyDescent="0.2">
      <c r="B14" s="237" t="s">
        <v>20</v>
      </c>
      <c r="C14" s="36">
        <v>0.13</v>
      </c>
      <c r="D14" s="150"/>
      <c r="E14" s="238"/>
      <c r="F14" s="239"/>
      <c r="G14" s="37">
        <f>H14/$F$9</f>
        <v>121220.07912741898</v>
      </c>
      <c r="H14" s="46">
        <f>'Расчет ФОТ'!U7</f>
        <v>1454640.9495290278</v>
      </c>
      <c r="I14" s="80">
        <f t="shared" si="0"/>
        <v>7.3972233106920818E-2</v>
      </c>
      <c r="J14" s="206"/>
    </row>
    <row r="15" spans="2:10" ht="17" thickBot="1" x14ac:dyDescent="0.25">
      <c r="B15" s="302" t="s">
        <v>304</v>
      </c>
      <c r="C15" s="240">
        <v>0.30499999999999999</v>
      </c>
      <c r="D15" s="150"/>
      <c r="E15" s="238"/>
      <c r="F15" s="241"/>
      <c r="G15" s="37">
        <f>H15/$F$9</f>
        <v>282082.46883068391</v>
      </c>
      <c r="H15" s="37">
        <f>'Расчет ФОТ'!V7</f>
        <v>3384989.6259682067</v>
      </c>
      <c r="I15" s="80">
        <f t="shared" si="0"/>
        <v>0.17213542747968144</v>
      </c>
      <c r="J15" s="212"/>
    </row>
    <row r="16" spans="2:10" ht="21.75" customHeight="1" x14ac:dyDescent="0.2">
      <c r="B16" s="242" t="s">
        <v>8</v>
      </c>
      <c r="C16" s="42" t="s">
        <v>19</v>
      </c>
      <c r="D16" s="42"/>
      <c r="E16" s="43" t="s">
        <v>31</v>
      </c>
      <c r="F16" s="243"/>
      <c r="G16" s="244">
        <f>SUM(G17:G20)</f>
        <v>74166.666666666657</v>
      </c>
      <c r="H16" s="245">
        <f>SUM(H17:H20)</f>
        <v>890000</v>
      </c>
      <c r="I16" s="53">
        <f t="shared" si="0"/>
        <v>4.5258788766035465E-2</v>
      </c>
      <c r="J16" s="54"/>
    </row>
    <row r="17" spans="2:10" x14ac:dyDescent="0.2">
      <c r="B17" s="246" t="s">
        <v>7</v>
      </c>
      <c r="C17" s="44">
        <v>1</v>
      </c>
      <c r="D17" s="44" t="s">
        <v>240</v>
      </c>
      <c r="E17" s="45">
        <v>240000</v>
      </c>
      <c r="F17" s="56"/>
      <c r="G17" s="37">
        <f>H17/$F$9</f>
        <v>20000</v>
      </c>
      <c r="H17" s="46">
        <f>C17*E17</f>
        <v>240000</v>
      </c>
      <c r="I17" s="38"/>
      <c r="J17" s="57"/>
    </row>
    <row r="18" spans="2:10" x14ac:dyDescent="0.2">
      <c r="B18" s="246" t="s">
        <v>223</v>
      </c>
      <c r="C18" s="44">
        <v>1</v>
      </c>
      <c r="D18" s="44" t="s">
        <v>241</v>
      </c>
      <c r="E18" s="45">
        <v>150000</v>
      </c>
      <c r="F18" s="56"/>
      <c r="G18" s="37">
        <f t="shared" ref="G18:G19" si="1">H18/$F$9</f>
        <v>12500</v>
      </c>
      <c r="H18" s="46">
        <f t="shared" ref="H18:H19" si="2">C18*E18</f>
        <v>150000</v>
      </c>
      <c r="I18" s="38"/>
      <c r="J18" s="57"/>
    </row>
    <row r="19" spans="2:10" x14ac:dyDescent="0.2">
      <c r="B19" s="246" t="s">
        <v>228</v>
      </c>
      <c r="C19" s="44">
        <v>1</v>
      </c>
      <c r="D19" s="44"/>
      <c r="E19" s="45">
        <v>500000</v>
      </c>
      <c r="F19" s="56"/>
      <c r="G19" s="37">
        <f t="shared" si="1"/>
        <v>41666.666666666664</v>
      </c>
      <c r="H19" s="46">
        <f t="shared" si="2"/>
        <v>500000</v>
      </c>
      <c r="I19" s="38"/>
      <c r="J19" s="57"/>
    </row>
    <row r="20" spans="2:10" ht="17" thickBot="1" x14ac:dyDescent="0.25">
      <c r="B20" s="247" t="s">
        <v>6</v>
      </c>
      <c r="C20" s="59"/>
      <c r="D20" s="59" t="s">
        <v>221</v>
      </c>
      <c r="E20" s="60"/>
      <c r="F20" s="47"/>
      <c r="G20" s="41">
        <f>H20/$F$9</f>
        <v>0</v>
      </c>
      <c r="H20" s="40">
        <f>C20*E20</f>
        <v>0</v>
      </c>
      <c r="I20" s="48"/>
      <c r="J20" s="61"/>
    </row>
    <row r="21" spans="2:10" ht="22.5" customHeight="1" x14ac:dyDescent="0.2">
      <c r="B21" s="49" t="s">
        <v>1</v>
      </c>
      <c r="C21" s="42" t="s">
        <v>19</v>
      </c>
      <c r="D21" s="42"/>
      <c r="E21" s="43" t="s">
        <v>31</v>
      </c>
      <c r="F21" s="50"/>
      <c r="G21" s="51">
        <f>SUM(G22:G29)</f>
        <v>14166.666666666668</v>
      </c>
      <c r="H21" s="52">
        <f>SUM(H22:H29)</f>
        <v>170000</v>
      </c>
      <c r="I21" s="29">
        <f>IF($H$69=0,"",H21/$H$69)</f>
        <v>8.6449371800292468E-3</v>
      </c>
      <c r="J21" s="54"/>
    </row>
    <row r="22" spans="2:10" x14ac:dyDescent="0.2">
      <c r="B22" s="55" t="s">
        <v>32</v>
      </c>
      <c r="C22" s="44">
        <v>1</v>
      </c>
      <c r="D22" s="44" t="s">
        <v>240</v>
      </c>
      <c r="E22" s="45">
        <v>120000</v>
      </c>
      <c r="F22" s="56"/>
      <c r="G22" s="37">
        <f>H22/$F$9</f>
        <v>10000</v>
      </c>
      <c r="H22" s="46">
        <f>C22*E22</f>
        <v>120000</v>
      </c>
      <c r="I22" s="38"/>
      <c r="J22" s="57"/>
    </row>
    <row r="23" spans="2:10" x14ac:dyDescent="0.2">
      <c r="B23" s="55" t="s">
        <v>33</v>
      </c>
      <c r="C23" s="44"/>
      <c r="D23" s="44"/>
      <c r="E23" s="45"/>
      <c r="F23" s="56"/>
      <c r="G23" s="37">
        <f t="shared" ref="G23:G27" si="3">H23/$F$9</f>
        <v>0</v>
      </c>
      <c r="H23" s="46">
        <f t="shared" ref="H23:H27" si="4">C23*E23</f>
        <v>0</v>
      </c>
      <c r="I23" s="38"/>
      <c r="J23" s="57"/>
    </row>
    <row r="24" spans="2:10" x14ac:dyDescent="0.2">
      <c r="B24" s="55" t="s">
        <v>34</v>
      </c>
      <c r="C24" s="44"/>
      <c r="D24" s="44"/>
      <c r="E24" s="45"/>
      <c r="F24" s="56"/>
      <c r="G24" s="37">
        <f t="shared" si="3"/>
        <v>0</v>
      </c>
      <c r="H24" s="46">
        <f t="shared" si="4"/>
        <v>0</v>
      </c>
      <c r="I24" s="38"/>
      <c r="J24" s="57"/>
    </row>
    <row r="25" spans="2:10" x14ac:dyDescent="0.2">
      <c r="B25" s="55" t="s">
        <v>285</v>
      </c>
      <c r="C25" s="44"/>
      <c r="D25" s="44"/>
      <c r="E25" s="45"/>
      <c r="F25" s="56"/>
      <c r="G25" s="37">
        <f t="shared" si="3"/>
        <v>0</v>
      </c>
      <c r="H25" s="46">
        <f t="shared" si="4"/>
        <v>0</v>
      </c>
      <c r="I25" s="38"/>
      <c r="J25" s="57"/>
    </row>
    <row r="26" spans="2:10" x14ac:dyDescent="0.2">
      <c r="B26" s="55" t="s">
        <v>286</v>
      </c>
      <c r="C26" s="44"/>
      <c r="D26" s="44"/>
      <c r="E26" s="45"/>
      <c r="F26" s="56"/>
      <c r="G26" s="37">
        <f t="shared" si="3"/>
        <v>0</v>
      </c>
      <c r="H26" s="46">
        <f t="shared" si="4"/>
        <v>0</v>
      </c>
      <c r="I26" s="38"/>
      <c r="J26" s="57"/>
    </row>
    <row r="27" spans="2:10" x14ac:dyDescent="0.2">
      <c r="B27" s="55" t="s">
        <v>287</v>
      </c>
      <c r="C27" s="44"/>
      <c r="D27" s="44"/>
      <c r="E27" s="45"/>
      <c r="F27" s="56"/>
      <c r="G27" s="37">
        <f t="shared" si="3"/>
        <v>0</v>
      </c>
      <c r="H27" s="46">
        <f t="shared" si="4"/>
        <v>0</v>
      </c>
      <c r="I27" s="38"/>
      <c r="J27" s="57"/>
    </row>
    <row r="28" spans="2:10" x14ac:dyDescent="0.2">
      <c r="B28" s="55" t="s">
        <v>288</v>
      </c>
      <c r="C28" s="44">
        <v>1</v>
      </c>
      <c r="D28" s="44" t="s">
        <v>241</v>
      </c>
      <c r="E28" s="45">
        <v>50000</v>
      </c>
      <c r="F28" s="56"/>
      <c r="G28" s="37">
        <f>H28/$F$9</f>
        <v>4166.666666666667</v>
      </c>
      <c r="H28" s="46">
        <f>C28*E28</f>
        <v>50000</v>
      </c>
      <c r="I28" s="38"/>
      <c r="J28" s="57"/>
    </row>
    <row r="29" spans="2:10" ht="17" thickBot="1" x14ac:dyDescent="0.25">
      <c r="B29" s="58" t="s">
        <v>289</v>
      </c>
      <c r="C29" s="59"/>
      <c r="D29" s="59"/>
      <c r="E29" s="60"/>
      <c r="F29" s="47"/>
      <c r="G29" s="37">
        <f>H29/$F$9</f>
        <v>0</v>
      </c>
      <c r="H29" s="46">
        <f>C29*E29</f>
        <v>0</v>
      </c>
      <c r="I29" s="48"/>
      <c r="J29" s="61"/>
    </row>
    <row r="30" spans="2:10" ht="22.5" customHeight="1" x14ac:dyDescent="0.2">
      <c r="B30" s="49" t="s">
        <v>2</v>
      </c>
      <c r="C30" s="42" t="s">
        <v>19</v>
      </c>
      <c r="D30" s="42"/>
      <c r="E30" s="43" t="s">
        <v>31</v>
      </c>
      <c r="F30" s="50"/>
      <c r="G30" s="51">
        <f>SUM(G31:G38)</f>
        <v>6416.666666666667</v>
      </c>
      <c r="H30" s="52">
        <f>SUM(H31:H38)</f>
        <v>77000</v>
      </c>
      <c r="I30" s="29">
        <f>IF($H$69=0,"",H30/$H$69)</f>
        <v>3.9156480168367766E-3</v>
      </c>
      <c r="J30" s="54"/>
    </row>
    <row r="31" spans="2:10" ht="18" customHeight="1" x14ac:dyDescent="0.2">
      <c r="B31" s="55" t="s">
        <v>40</v>
      </c>
      <c r="C31" s="44">
        <v>8</v>
      </c>
      <c r="D31" s="44" t="s">
        <v>240</v>
      </c>
      <c r="E31" s="45">
        <v>5000</v>
      </c>
      <c r="F31" s="56"/>
      <c r="G31" s="37">
        <f>H31/$F$9</f>
        <v>3333.3333333333335</v>
      </c>
      <c r="H31" s="46">
        <f>C31*E31</f>
        <v>40000</v>
      </c>
      <c r="I31" s="38"/>
      <c r="J31" s="57"/>
    </row>
    <row r="32" spans="2:10" ht="18" customHeight="1" x14ac:dyDescent="0.2">
      <c r="B32" s="55" t="s">
        <v>35</v>
      </c>
      <c r="C32" s="44"/>
      <c r="D32" s="44"/>
      <c r="E32" s="45"/>
      <c r="F32" s="56"/>
      <c r="G32" s="37">
        <f t="shared" ref="G32:G35" si="5">H32/$F$9</f>
        <v>0</v>
      </c>
      <c r="H32" s="46">
        <f t="shared" ref="H32:H35" si="6">C32*E32</f>
        <v>0</v>
      </c>
      <c r="I32" s="38"/>
      <c r="J32" s="57"/>
    </row>
    <row r="33" spans="2:10" ht="18" customHeight="1" x14ac:dyDescent="0.2">
      <c r="B33" s="55" t="s">
        <v>224</v>
      </c>
      <c r="C33" s="44"/>
      <c r="D33" s="44"/>
      <c r="E33" s="45"/>
      <c r="F33" s="56"/>
      <c r="G33" s="37">
        <f t="shared" si="5"/>
        <v>0</v>
      </c>
      <c r="H33" s="46">
        <f t="shared" si="6"/>
        <v>0</v>
      </c>
      <c r="I33" s="38"/>
      <c r="J33" s="57"/>
    </row>
    <row r="34" spans="2:10" ht="18" customHeight="1" x14ac:dyDescent="0.2">
      <c r="B34" s="55" t="s">
        <v>225</v>
      </c>
      <c r="C34" s="44"/>
      <c r="D34" s="44"/>
      <c r="E34" s="45"/>
      <c r="F34" s="56"/>
      <c r="G34" s="37">
        <f t="shared" si="5"/>
        <v>0</v>
      </c>
      <c r="H34" s="46">
        <f t="shared" si="6"/>
        <v>0</v>
      </c>
      <c r="I34" s="38"/>
      <c r="J34" s="57"/>
    </row>
    <row r="35" spans="2:10" ht="18" customHeight="1" x14ac:dyDescent="0.2">
      <c r="B35" s="55" t="s">
        <v>290</v>
      </c>
      <c r="C35" s="44"/>
      <c r="D35" s="44"/>
      <c r="E35" s="45"/>
      <c r="F35" s="56"/>
      <c r="G35" s="37">
        <f t="shared" si="5"/>
        <v>0</v>
      </c>
      <c r="H35" s="46">
        <f t="shared" si="6"/>
        <v>0</v>
      </c>
      <c r="I35" s="38"/>
      <c r="J35" s="57"/>
    </row>
    <row r="36" spans="2:10" ht="18" customHeight="1" x14ac:dyDescent="0.2">
      <c r="B36" s="55" t="s">
        <v>291</v>
      </c>
      <c r="C36" s="44">
        <v>3</v>
      </c>
      <c r="D36" s="44" t="s">
        <v>241</v>
      </c>
      <c r="E36" s="45">
        <v>10000</v>
      </c>
      <c r="F36" s="56"/>
      <c r="G36" s="37">
        <f>H36/$F$9</f>
        <v>2500</v>
      </c>
      <c r="H36" s="46">
        <f>C36*E36</f>
        <v>30000</v>
      </c>
      <c r="I36" s="38"/>
      <c r="J36" s="57"/>
    </row>
    <row r="37" spans="2:10" ht="18" customHeight="1" x14ac:dyDescent="0.2">
      <c r="B37" s="55" t="s">
        <v>292</v>
      </c>
      <c r="C37" s="44">
        <v>1</v>
      </c>
      <c r="D37" s="44" t="s">
        <v>236</v>
      </c>
      <c r="E37" s="45">
        <v>7000</v>
      </c>
      <c r="F37" s="56"/>
      <c r="G37" s="37">
        <f>H37/$F$9</f>
        <v>583.33333333333337</v>
      </c>
      <c r="H37" s="46">
        <f>C37*E37</f>
        <v>7000</v>
      </c>
      <c r="I37" s="38"/>
      <c r="J37" s="57"/>
    </row>
    <row r="38" spans="2:10" ht="18" customHeight="1" thickBot="1" x14ac:dyDescent="0.25">
      <c r="B38" s="55" t="s">
        <v>293</v>
      </c>
      <c r="C38" s="44"/>
      <c r="D38" s="44"/>
      <c r="E38" s="45"/>
      <c r="F38" s="56"/>
      <c r="G38" s="37">
        <f>H38/$F$9</f>
        <v>0</v>
      </c>
      <c r="H38" s="46">
        <f>C38*E38</f>
        <v>0</v>
      </c>
      <c r="I38" s="48"/>
      <c r="J38" s="61"/>
    </row>
    <row r="39" spans="2:10" x14ac:dyDescent="0.2">
      <c r="B39" s="338" t="s">
        <v>3</v>
      </c>
      <c r="C39" s="62"/>
      <c r="D39" s="62"/>
      <c r="E39" s="62"/>
      <c r="F39" s="63"/>
      <c r="G39" s="51">
        <f>SUM(G41:G47)</f>
        <v>41011.904761904763</v>
      </c>
      <c r="H39" s="64">
        <f>SUM(H41:H47)</f>
        <v>492142.85714285716</v>
      </c>
      <c r="I39" s="53">
        <f>IF($H$69=0,"",H39/$H$69)</f>
        <v>2.5026729903530047E-2</v>
      </c>
      <c r="J39" s="207"/>
    </row>
    <row r="40" spans="2:10" ht="34" x14ac:dyDescent="0.2">
      <c r="B40" s="339"/>
      <c r="C40" s="7" t="s">
        <v>19</v>
      </c>
      <c r="D40" s="7"/>
      <c r="E40" s="14" t="s">
        <v>31</v>
      </c>
      <c r="F40" s="14" t="s">
        <v>193</v>
      </c>
      <c r="G40" s="65"/>
      <c r="H40" s="66"/>
      <c r="I40" s="208"/>
      <c r="J40" s="340"/>
    </row>
    <row r="41" spans="2:10" ht="17" x14ac:dyDescent="0.2">
      <c r="B41" s="67" t="s">
        <v>43</v>
      </c>
      <c r="C41" s="68">
        <v>1</v>
      </c>
      <c r="D41" s="68" t="s">
        <v>235</v>
      </c>
      <c r="E41" s="23">
        <v>900000</v>
      </c>
      <c r="F41" s="23">
        <v>60</v>
      </c>
      <c r="G41" s="37">
        <f t="shared" ref="G41:G47" si="7">E41/F41*C41</f>
        <v>15000</v>
      </c>
      <c r="H41" s="69">
        <f t="shared" ref="H41:H47" si="8">G41*$F$9</f>
        <v>180000</v>
      </c>
      <c r="I41" s="208"/>
      <c r="J41" s="340"/>
    </row>
    <row r="42" spans="2:10" ht="17" x14ac:dyDescent="0.2">
      <c r="B42" s="67" t="s">
        <v>191</v>
      </c>
      <c r="C42" s="68">
        <v>1</v>
      </c>
      <c r="D42" s="68" t="s">
        <v>240</v>
      </c>
      <c r="E42" s="23">
        <v>110000</v>
      </c>
      <c r="F42" s="23">
        <v>24</v>
      </c>
      <c r="G42" s="37">
        <f t="shared" si="7"/>
        <v>4583.333333333333</v>
      </c>
      <c r="H42" s="69">
        <f t="shared" si="8"/>
        <v>55000</v>
      </c>
      <c r="I42" s="208"/>
      <c r="J42" s="340"/>
    </row>
    <row r="43" spans="2:10" ht="51" x14ac:dyDescent="0.2">
      <c r="B43" s="67" t="s">
        <v>192</v>
      </c>
      <c r="C43" s="68"/>
      <c r="D43" s="68"/>
      <c r="E43" s="23"/>
      <c r="F43" s="23">
        <v>36</v>
      </c>
      <c r="G43" s="37">
        <f t="shared" si="7"/>
        <v>0</v>
      </c>
      <c r="H43" s="69">
        <f t="shared" si="8"/>
        <v>0</v>
      </c>
      <c r="I43" s="208"/>
      <c r="J43" s="340"/>
    </row>
    <row r="44" spans="2:10" ht="34" x14ac:dyDescent="0.2">
      <c r="B44" s="67" t="s">
        <v>44</v>
      </c>
      <c r="C44" s="68">
        <v>1</v>
      </c>
      <c r="D44" s="68" t="s">
        <v>237</v>
      </c>
      <c r="E44" s="23">
        <v>1800000</v>
      </c>
      <c r="F44" s="23">
        <v>84</v>
      </c>
      <c r="G44" s="37">
        <f t="shared" si="7"/>
        <v>21428.571428571428</v>
      </c>
      <c r="H44" s="69">
        <f t="shared" si="8"/>
        <v>257142.85714285713</v>
      </c>
      <c r="I44" s="208"/>
      <c r="J44" s="340"/>
    </row>
    <row r="45" spans="2:10" ht="51" x14ac:dyDescent="0.2">
      <c r="B45" s="67" t="s">
        <v>46</v>
      </c>
      <c r="C45" s="68"/>
      <c r="D45" s="68"/>
      <c r="E45" s="23"/>
      <c r="F45" s="23">
        <v>84</v>
      </c>
      <c r="G45" s="37">
        <f t="shared" si="7"/>
        <v>0</v>
      </c>
      <c r="H45" s="69">
        <f t="shared" si="8"/>
        <v>0</v>
      </c>
      <c r="I45" s="208"/>
      <c r="J45" s="340"/>
    </row>
    <row r="46" spans="2:10" ht="51" x14ac:dyDescent="0.2">
      <c r="B46" s="67" t="s">
        <v>45</v>
      </c>
      <c r="C46" s="68"/>
      <c r="D46" s="68"/>
      <c r="E46" s="23"/>
      <c r="F46" s="23">
        <v>84</v>
      </c>
      <c r="G46" s="37">
        <f t="shared" si="7"/>
        <v>0</v>
      </c>
      <c r="H46" s="69">
        <f t="shared" si="8"/>
        <v>0</v>
      </c>
      <c r="I46" s="208"/>
      <c r="J46" s="340"/>
    </row>
    <row r="47" spans="2:10" ht="35" thickBot="1" x14ac:dyDescent="0.25">
      <c r="B47" s="248" t="s">
        <v>257</v>
      </c>
      <c r="C47" s="249"/>
      <c r="D47" s="249"/>
      <c r="E47" s="77"/>
      <c r="F47" s="77">
        <v>36</v>
      </c>
      <c r="G47" s="41">
        <f t="shared" si="7"/>
        <v>0</v>
      </c>
      <c r="H47" s="250">
        <f t="shared" si="8"/>
        <v>0</v>
      </c>
      <c r="I47" s="209"/>
      <c r="J47" s="341"/>
    </row>
    <row r="48" spans="2:10" ht="24.75" customHeight="1" thickBot="1" x14ac:dyDescent="0.25">
      <c r="B48" s="251" t="s">
        <v>36</v>
      </c>
      <c r="C48" s="252"/>
      <c r="D48" s="252"/>
      <c r="E48" s="41"/>
      <c r="F48" s="253"/>
      <c r="G48" s="250">
        <f>H48/$F$9</f>
        <v>16666.666666666668</v>
      </c>
      <c r="H48" s="254">
        <v>200000</v>
      </c>
      <c r="I48" s="80">
        <f>IF($H$69=0,"",H48/$H$69)</f>
        <v>1.0170514329446172E-2</v>
      </c>
      <c r="J48" s="210"/>
    </row>
    <row r="49" spans="2:10" ht="22.5" customHeight="1" x14ac:dyDescent="0.2">
      <c r="B49" s="242" t="s">
        <v>4</v>
      </c>
      <c r="C49" s="42" t="s">
        <v>19</v>
      </c>
      <c r="D49" s="42"/>
      <c r="E49" s="43" t="s">
        <v>56</v>
      </c>
      <c r="F49" s="243"/>
      <c r="G49" s="51">
        <f>SUM(G50:G54)</f>
        <v>50000</v>
      </c>
      <c r="H49" s="52">
        <f>SUM(H50:H54)</f>
        <v>600000</v>
      </c>
      <c r="I49" s="70">
        <f>IF($H$69=0,"",H49/$H$69)</f>
        <v>3.0511542988338518E-2</v>
      </c>
      <c r="J49" s="211"/>
    </row>
    <row r="50" spans="2:10" x14ac:dyDescent="0.2">
      <c r="B50" s="55" t="s">
        <v>9</v>
      </c>
      <c r="C50" s="255">
        <v>1</v>
      </c>
      <c r="D50" s="255" t="s">
        <v>240</v>
      </c>
      <c r="E50" s="256">
        <v>100000</v>
      </c>
      <c r="F50" s="56"/>
      <c r="G50" s="37">
        <f t="shared" ref="G50:G62" si="9">H50/$F$9</f>
        <v>8333.3333333333339</v>
      </c>
      <c r="H50" s="46">
        <f>E50*C50</f>
        <v>100000</v>
      </c>
      <c r="I50" s="38"/>
      <c r="J50" s="212"/>
    </row>
    <row r="51" spans="2:10" x14ac:dyDescent="0.2">
      <c r="B51" s="55" t="s">
        <v>10</v>
      </c>
      <c r="C51" s="255"/>
      <c r="D51" s="255"/>
      <c r="E51" s="256"/>
      <c r="F51" s="56"/>
      <c r="G51" s="37">
        <f t="shared" si="9"/>
        <v>0</v>
      </c>
      <c r="H51" s="46">
        <f>E51*C51</f>
        <v>0</v>
      </c>
      <c r="I51" s="38"/>
      <c r="J51" s="212"/>
    </row>
    <row r="52" spans="2:10" x14ac:dyDescent="0.2">
      <c r="B52" s="55" t="s">
        <v>11</v>
      </c>
      <c r="C52" s="255"/>
      <c r="D52" s="255"/>
      <c r="E52" s="256"/>
      <c r="F52" s="56"/>
      <c r="G52" s="37">
        <f t="shared" si="9"/>
        <v>0</v>
      </c>
      <c r="H52" s="46">
        <f>E52*C52</f>
        <v>0</v>
      </c>
      <c r="I52" s="38"/>
      <c r="J52" s="212"/>
    </row>
    <row r="53" spans="2:10" x14ac:dyDescent="0.2">
      <c r="B53" s="55" t="s">
        <v>58</v>
      </c>
      <c r="C53" s="255"/>
      <c r="D53" s="255"/>
      <c r="E53" s="256"/>
      <c r="F53" s="56"/>
      <c r="G53" s="37">
        <f t="shared" si="9"/>
        <v>0</v>
      </c>
      <c r="H53" s="46">
        <f>E53*C53</f>
        <v>0</v>
      </c>
      <c r="I53" s="38"/>
      <c r="J53" s="212"/>
    </row>
    <row r="54" spans="2:10" x14ac:dyDescent="0.2">
      <c r="B54" s="55" t="s">
        <v>59</v>
      </c>
      <c r="C54" s="255">
        <v>1</v>
      </c>
      <c r="D54" s="255" t="s">
        <v>222</v>
      </c>
      <c r="E54" s="256">
        <v>500000</v>
      </c>
      <c r="F54" s="56"/>
      <c r="G54" s="37">
        <f t="shared" si="9"/>
        <v>41666.666666666664</v>
      </c>
      <c r="H54" s="46">
        <f>E54*C54</f>
        <v>500000</v>
      </c>
      <c r="I54" s="213"/>
      <c r="J54" s="212"/>
    </row>
    <row r="55" spans="2:10" ht="22.5" customHeight="1" x14ac:dyDescent="0.2">
      <c r="B55" s="232" t="s">
        <v>5</v>
      </c>
      <c r="C55" s="71"/>
      <c r="D55" s="71"/>
      <c r="E55" s="71"/>
      <c r="F55" s="71"/>
      <c r="G55" s="33">
        <f t="shared" si="9"/>
        <v>1666.6666666666667</v>
      </c>
      <c r="H55" s="72">
        <v>20000</v>
      </c>
      <c r="I55" s="73">
        <f t="shared" ref="I55:I67" si="10">IF($H$69=0,"",H55/$H$69)</f>
        <v>1.0170514329446172E-3</v>
      </c>
      <c r="J55" s="214"/>
    </row>
    <row r="56" spans="2:10" ht="22.5" customHeight="1" x14ac:dyDescent="0.2">
      <c r="B56" s="232" t="s">
        <v>37</v>
      </c>
      <c r="C56" s="71"/>
      <c r="D56" s="71"/>
      <c r="E56" s="71"/>
      <c r="F56" s="71"/>
      <c r="G56" s="33">
        <f t="shared" si="9"/>
        <v>0</v>
      </c>
      <c r="H56" s="72">
        <v>0</v>
      </c>
      <c r="I56" s="73">
        <f t="shared" si="10"/>
        <v>0</v>
      </c>
      <c r="J56" s="214"/>
    </row>
    <row r="57" spans="2:10" x14ac:dyDescent="0.2">
      <c r="B57" s="232" t="s">
        <v>41</v>
      </c>
      <c r="C57" s="71"/>
      <c r="D57" s="71"/>
      <c r="E57" s="71"/>
      <c r="F57" s="71"/>
      <c r="G57" s="33">
        <f t="shared" si="9"/>
        <v>0</v>
      </c>
      <c r="H57" s="72">
        <v>0</v>
      </c>
      <c r="I57" s="73">
        <f t="shared" si="10"/>
        <v>0</v>
      </c>
      <c r="J57" s="215"/>
    </row>
    <row r="58" spans="2:10" x14ac:dyDescent="0.2">
      <c r="B58" s="232" t="s">
        <v>57</v>
      </c>
      <c r="C58" s="71"/>
      <c r="D58" s="71"/>
      <c r="E58" s="71"/>
      <c r="F58" s="71"/>
      <c r="G58" s="33">
        <f t="shared" si="9"/>
        <v>0</v>
      </c>
      <c r="H58" s="72">
        <v>0</v>
      </c>
      <c r="I58" s="73">
        <f t="shared" si="10"/>
        <v>0</v>
      </c>
      <c r="J58" s="216"/>
    </row>
    <row r="59" spans="2:10" x14ac:dyDescent="0.2">
      <c r="B59" s="232" t="s">
        <v>13</v>
      </c>
      <c r="C59" s="71"/>
      <c r="D59" s="71"/>
      <c r="E59" s="71"/>
      <c r="F59" s="71"/>
      <c r="G59" s="33">
        <f t="shared" si="9"/>
        <v>0</v>
      </c>
      <c r="H59" s="72">
        <v>0</v>
      </c>
      <c r="I59" s="73">
        <f t="shared" si="10"/>
        <v>0</v>
      </c>
      <c r="J59" s="215"/>
    </row>
    <row r="60" spans="2:10" x14ac:dyDescent="0.2">
      <c r="B60" s="257" t="s">
        <v>12</v>
      </c>
      <c r="C60" s="74"/>
      <c r="D60" s="74"/>
      <c r="E60" s="74"/>
      <c r="F60" s="74"/>
      <c r="G60" s="75">
        <f t="shared" si="9"/>
        <v>0</v>
      </c>
      <c r="H60" s="76">
        <v>0</v>
      </c>
      <c r="I60" s="73">
        <f t="shared" si="10"/>
        <v>0</v>
      </c>
      <c r="J60" s="217"/>
    </row>
    <row r="61" spans="2:10" x14ac:dyDescent="0.2">
      <c r="B61" s="258"/>
      <c r="C61" s="23"/>
      <c r="D61" s="23"/>
      <c r="E61" s="23"/>
      <c r="F61" s="23"/>
      <c r="G61" s="75">
        <f t="shared" si="9"/>
        <v>0</v>
      </c>
      <c r="H61" s="23"/>
      <c r="I61" s="73">
        <f t="shared" si="10"/>
        <v>0</v>
      </c>
      <c r="J61" s="218"/>
    </row>
    <row r="62" spans="2:10" ht="17" thickBot="1" x14ac:dyDescent="0.25">
      <c r="B62" s="259"/>
      <c r="C62" s="77"/>
      <c r="D62" s="77"/>
      <c r="E62" s="77"/>
      <c r="F62" s="77"/>
      <c r="G62" s="78">
        <f t="shared" si="9"/>
        <v>0</v>
      </c>
      <c r="H62" s="77"/>
      <c r="I62" s="79">
        <f t="shared" si="10"/>
        <v>0</v>
      </c>
      <c r="J62" s="219"/>
    </row>
    <row r="63" spans="2:10" ht="55.5" customHeight="1" thickBot="1" x14ac:dyDescent="0.25">
      <c r="B63" s="260" t="s">
        <v>26</v>
      </c>
      <c r="C63" s="261"/>
      <c r="D63" s="261"/>
      <c r="E63" s="262"/>
      <c r="F63" s="263"/>
      <c r="G63" s="244">
        <f>SUM(G11,G16,G21,G30,G39,G48,G49,G55,G56,G57,G58,G59,G60,G61:G62)</f>
        <v>1418639.8540599146</v>
      </c>
      <c r="H63" s="244">
        <f>SUM(H11,H16,H21,H30,H39,H48,H49,H55,H56,H57,H58,H59,H60,H61:H62)</f>
        <v>17023678.24871897</v>
      </c>
      <c r="I63" s="70">
        <f t="shared" si="10"/>
        <v>0.86569781784238697</v>
      </c>
      <c r="J63" s="220"/>
    </row>
    <row r="64" spans="2:10" ht="35" thickBot="1" x14ac:dyDescent="0.25">
      <c r="B64" s="264" t="s">
        <v>22</v>
      </c>
      <c r="C64" s="81" t="s">
        <v>53</v>
      </c>
      <c r="D64" s="151"/>
      <c r="E64" s="82">
        <v>9.2999999999999999E-2</v>
      </c>
      <c r="F64" s="83" t="s">
        <v>52</v>
      </c>
      <c r="G64" s="84">
        <f>H64/$F$9</f>
        <v>131933.50642757202</v>
      </c>
      <c r="H64" s="85">
        <f>H63*E64</f>
        <v>1583202.0771308641</v>
      </c>
      <c r="I64" s="73">
        <f t="shared" si="10"/>
        <v>8.0509897059341987E-2</v>
      </c>
      <c r="J64" s="216"/>
    </row>
    <row r="65" spans="2:11" ht="54" customHeight="1" thickBot="1" x14ac:dyDescent="0.25">
      <c r="B65" s="265" t="s">
        <v>47</v>
      </c>
      <c r="C65" s="81" t="s">
        <v>54</v>
      </c>
      <c r="D65" s="151"/>
      <c r="E65" s="86">
        <v>0.16</v>
      </c>
      <c r="F65" s="87">
        <v>30</v>
      </c>
      <c r="G65" s="88">
        <f>H65/$F$9</f>
        <v>37337.562982302625</v>
      </c>
      <c r="H65" s="89">
        <f>-PMT(E65/12,$F$9,(H11+H16+H39+H48+H49+H55+H56+H57+H58+H59+H60+H61+H62)/365*F65+SUMPRODUCT(C41:C47,E41:E47)*1.2+H21*1.2+H30*1.2)*$F$9-((H11+H16+H39+H48+H49+H55+H56+H57+H58+H59+H60+H61+H62)/365*F65+SUMPRODUCT(C41:C47,E41:E47)*1.2+H21*1.2+H30*1.2)</f>
        <v>448050.7557876315</v>
      </c>
      <c r="I65" s="79">
        <f t="shared" si="10"/>
        <v>2.2784533160286467E-2</v>
      </c>
      <c r="J65" s="221"/>
    </row>
    <row r="66" spans="2:11" ht="21" customHeight="1" thickBot="1" x14ac:dyDescent="0.25">
      <c r="B66" s="266" t="s">
        <v>27</v>
      </c>
      <c r="C66" s="267"/>
      <c r="D66" s="267"/>
      <c r="E66" s="268"/>
      <c r="F66" s="269"/>
      <c r="G66" s="244">
        <f>SUM(G63:G65)</f>
        <v>1587910.9234697893</v>
      </c>
      <c r="H66" s="244">
        <f>SUM(H63:H65)</f>
        <v>19054931.081637464</v>
      </c>
      <c r="I66" s="53">
        <f t="shared" si="10"/>
        <v>0.96899224806201545</v>
      </c>
      <c r="J66" s="222"/>
      <c r="K66" s="90"/>
    </row>
    <row r="67" spans="2:11" ht="66.75" customHeight="1" thickBot="1" x14ac:dyDescent="0.25">
      <c r="B67" s="270" t="s">
        <v>28</v>
      </c>
      <c r="C67" s="81" t="s">
        <v>55</v>
      </c>
      <c r="D67" s="151"/>
      <c r="E67" s="86">
        <v>3.2000000000000001E-2</v>
      </c>
      <c r="F67" s="91"/>
      <c r="G67" s="33">
        <f>H67/$F$9</f>
        <v>50813.149551033239</v>
      </c>
      <c r="H67" s="32">
        <f>H66*E67</f>
        <v>609757.79461239884</v>
      </c>
      <c r="I67" s="73">
        <f t="shared" si="10"/>
        <v>3.1007751937984492E-2</v>
      </c>
      <c r="J67" s="216"/>
    </row>
    <row r="68" spans="2:11" ht="17" thickBot="1" x14ac:dyDescent="0.25">
      <c r="B68" s="271" t="s">
        <v>188</v>
      </c>
      <c r="C68" s="272">
        <v>0.2</v>
      </c>
      <c r="D68" s="273"/>
      <c r="E68" s="39"/>
      <c r="F68" s="274"/>
      <c r="G68" s="78">
        <f>G67*C68</f>
        <v>10162.629910206648</v>
      </c>
      <c r="H68" s="275">
        <f>H67*C68</f>
        <v>121951.55892247977</v>
      </c>
      <c r="I68" s="79"/>
      <c r="J68" s="221"/>
    </row>
    <row r="69" spans="2:11" ht="22.5" customHeight="1" thickBot="1" x14ac:dyDescent="0.25">
      <c r="B69" s="276" t="s">
        <v>21</v>
      </c>
      <c r="C69" s="277"/>
      <c r="D69" s="277"/>
      <c r="E69" s="278"/>
      <c r="F69" s="279"/>
      <c r="G69" s="280">
        <f>SUM(G66:G67)</f>
        <v>1638724.0730208226</v>
      </c>
      <c r="H69" s="280">
        <f>SUM(H66:H67)</f>
        <v>19664688.876249865</v>
      </c>
      <c r="I69" s="223"/>
      <c r="J69" s="224"/>
    </row>
    <row r="70" spans="2:11" ht="22.5" customHeight="1" x14ac:dyDescent="0.2">
      <c r="B70" s="281" t="s">
        <v>25</v>
      </c>
      <c r="C70" s="282">
        <v>0.2</v>
      </c>
      <c r="D70" s="282"/>
      <c r="E70" s="283"/>
      <c r="F70" s="284"/>
      <c r="G70" s="285">
        <f>G69*C70</f>
        <v>327744.81460416457</v>
      </c>
      <c r="H70" s="286">
        <f>H69*C70</f>
        <v>3932937.7752499729</v>
      </c>
      <c r="I70" s="225"/>
      <c r="J70" s="226"/>
    </row>
    <row r="71" spans="2:11" ht="25.5" customHeight="1" thickBot="1" x14ac:dyDescent="0.25">
      <c r="B71" s="287" t="s">
        <v>42</v>
      </c>
      <c r="C71" s="288"/>
      <c r="D71" s="288"/>
      <c r="E71" s="288"/>
      <c r="F71" s="289"/>
      <c r="G71" s="290">
        <f>SUM(G69:G70)</f>
        <v>1966468.8876249872</v>
      </c>
      <c r="H71" s="290">
        <f>SUM(H69:H70)</f>
        <v>23597626.651499838</v>
      </c>
      <c r="I71" s="227"/>
      <c r="J71" s="228"/>
    </row>
    <row r="73" spans="2:11" x14ac:dyDescent="0.2">
      <c r="H73" s="92"/>
    </row>
    <row r="76" spans="2:11" x14ac:dyDescent="0.2">
      <c r="H76" s="94"/>
    </row>
    <row r="77" spans="2:11" x14ac:dyDescent="0.2">
      <c r="H77" s="93"/>
    </row>
  </sheetData>
  <sheetProtection password="E8A8" sheet="1" formatCells="0" formatColumns="0" formatRows="0" insertColumns="0" insertRows="0" insertHyperlinks="0" deleteColumns="0" deleteRows="0" sort="0" autoFilter="0" pivotTables="0"/>
  <mergeCells count="9">
    <mergeCell ref="B39:B40"/>
    <mergeCell ref="J40:J47"/>
    <mergeCell ref="C1:F1"/>
    <mergeCell ref="C3:F3"/>
    <mergeCell ref="C4:F4"/>
    <mergeCell ref="C5:F5"/>
    <mergeCell ref="C6:F6"/>
    <mergeCell ref="C7:F7"/>
    <mergeCell ref="C2:F2"/>
  </mergeCells>
  <phoneticPr fontId="13" type="noConversion"/>
  <conditionalFormatting sqref="I64">
    <cfRule type="cellIs" dxfId="76" priority="3" operator="lessThan">
      <formula>0.08</formula>
    </cfRule>
    <cfRule type="cellIs" dxfId="75" priority="4" operator="greaterThan">
      <formula>0.08</formula>
    </cfRule>
  </conditionalFormatting>
  <conditionalFormatting sqref="I67">
    <cfRule type="cellIs" dxfId="74" priority="1" operator="lessThan">
      <formula>0.03</formula>
    </cfRule>
    <cfRule type="cellIs" dxfId="73" priority="2" operator="greaterThan">
      <formula>0.03</formula>
    </cfRule>
  </conditionalFormatting>
  <pageMargins left="0.70866141732283472" right="0.11811023622047245" top="0.74803149606299213" bottom="0.74803149606299213" header="0.31496062992125984" footer="0.31496062992125984"/>
  <pageSetup paperSize="9" scale="42" orientation="landscape" horizontalDpi="4294967295" verticalDpi="4294967295"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'ЗП по стандарту АКФО'!$E$3:$E$28</xm:f>
          </x14:formula1>
          <xm:sqref>C5:D5</xm:sqref>
        </x14:dataValidation>
        <x14:dataValidation type="list" allowBlank="1" showInputMessage="1" showErrorMessage="1" xr:uid="{00000000-0002-0000-0200-000001000000}">
          <x14:formula1>
            <xm:f>'Расчет ФОТ'!$B$46:$B$60</xm:f>
          </x14:formula1>
          <xm:sqref>D17:D20 D22:D29 D31:D38 D41:D47 D50:D54</xm:sqref>
        </x14:dataValidation>
        <x14:dataValidation type="list" allowBlank="1" showInputMessage="1" showErrorMessage="1" xr:uid="{00000000-0002-0000-0200-000002000000}">
          <x14:formula1>
            <xm:f>'ЗП по стандарту АКФО'!$D$3:$D$134</xm:f>
          </x14:formula1>
          <xm:sqref>C4:F4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65"/>
  <sheetViews>
    <sheetView showGridLines="0" zoomScale="60" zoomScaleNormal="60" zoomScaleSheetLayoutView="50" workbookViewId="0">
      <pane xSplit="2" ySplit="5" topLeftCell="C6" activePane="bottomRight" state="frozen"/>
      <selection pane="topRight" activeCell="C1" sqref="C1"/>
      <selection pane="bottomLeft" activeCell="A6" sqref="A6"/>
      <selection pane="bottomRight" activeCell="F23" sqref="F23"/>
    </sheetView>
  </sheetViews>
  <sheetFormatPr baseColWidth="10" defaultColWidth="9.1640625" defaultRowHeight="16" x14ac:dyDescent="0.2"/>
  <cols>
    <col min="1" max="1" width="3.33203125" style="4" customWidth="1"/>
    <col min="2" max="2" width="34.5" style="139" customWidth="1"/>
    <col min="3" max="3" width="11.33203125" style="4" bestFit="1" customWidth="1"/>
    <col min="4" max="4" width="24.6640625" style="4" customWidth="1"/>
    <col min="5" max="5" width="18.6640625" style="4" customWidth="1"/>
    <col min="6" max="6" width="22.5" style="4" bestFit="1" customWidth="1"/>
    <col min="7" max="7" width="13" style="4" customWidth="1"/>
    <col min="8" max="10" width="11" style="4" customWidth="1"/>
    <col min="11" max="21" width="15.5" style="4" customWidth="1"/>
    <col min="22" max="22" width="17.1640625" style="4" customWidth="1"/>
    <col min="23" max="25" width="15.5" style="4" customWidth="1"/>
    <col min="26" max="27" width="14.83203125" style="4" customWidth="1"/>
    <col min="28" max="29" width="9.1640625" style="4"/>
    <col min="30" max="30" width="11" style="4" customWidth="1"/>
    <col min="31" max="16384" width="9.1640625" style="4"/>
  </cols>
  <sheetData>
    <row r="1" spans="2:30" ht="17" thickBot="1" x14ac:dyDescent="0.25"/>
    <row r="2" spans="2:30" ht="15.75" customHeight="1" x14ac:dyDescent="0.2">
      <c r="B2" s="350"/>
      <c r="C2" s="353" t="s">
        <v>201</v>
      </c>
      <c r="D2" s="354"/>
      <c r="E2" s="354"/>
      <c r="F2" s="354"/>
      <c r="G2" s="354"/>
      <c r="H2" s="354"/>
      <c r="I2" s="354"/>
      <c r="J2" s="355"/>
      <c r="K2" s="371" t="s">
        <v>207</v>
      </c>
      <c r="L2" s="371"/>
      <c r="M2" s="371"/>
      <c r="N2" s="371"/>
      <c r="O2" s="371"/>
      <c r="P2" s="372"/>
      <c r="Q2" s="353" t="s">
        <v>274</v>
      </c>
      <c r="R2" s="354"/>
      <c r="S2" s="354"/>
      <c r="T2" s="354"/>
      <c r="U2" s="354"/>
      <c r="V2" s="354"/>
      <c r="W2" s="379" t="s">
        <v>277</v>
      </c>
      <c r="X2" s="367" t="s">
        <v>216</v>
      </c>
      <c r="Y2" s="381" t="s">
        <v>214</v>
      </c>
      <c r="Z2" s="375" t="s">
        <v>305</v>
      </c>
      <c r="AA2" s="377" t="s">
        <v>307</v>
      </c>
    </row>
    <row r="3" spans="2:30" x14ac:dyDescent="0.2">
      <c r="B3" s="351"/>
      <c r="C3" s="356"/>
      <c r="D3" s="357"/>
      <c r="E3" s="357"/>
      <c r="F3" s="357"/>
      <c r="G3" s="357"/>
      <c r="H3" s="357"/>
      <c r="I3" s="357"/>
      <c r="J3" s="358"/>
      <c r="K3" s="362" t="s">
        <v>212</v>
      </c>
      <c r="L3" s="363"/>
      <c r="M3" s="363"/>
      <c r="N3" s="364" t="s">
        <v>211</v>
      </c>
      <c r="O3" s="365"/>
      <c r="P3" s="366"/>
      <c r="Q3" s="356"/>
      <c r="R3" s="357"/>
      <c r="S3" s="357"/>
      <c r="T3" s="357"/>
      <c r="U3" s="357"/>
      <c r="V3" s="357"/>
      <c r="W3" s="380"/>
      <c r="X3" s="363"/>
      <c r="Y3" s="382"/>
      <c r="Z3" s="376"/>
      <c r="AA3" s="378"/>
    </row>
    <row r="4" spans="2:30" ht="96.75" customHeight="1" x14ac:dyDescent="0.2">
      <c r="B4" s="351"/>
      <c r="C4" s="359" t="s">
        <v>29</v>
      </c>
      <c r="D4" s="360" t="s">
        <v>220</v>
      </c>
      <c r="E4" s="349" t="s">
        <v>15</v>
      </c>
      <c r="F4" s="349" t="s">
        <v>256</v>
      </c>
      <c r="G4" s="348" t="s">
        <v>64</v>
      </c>
      <c r="H4" s="348" t="s">
        <v>65</v>
      </c>
      <c r="I4" s="349" t="s">
        <v>16</v>
      </c>
      <c r="J4" s="346" t="s">
        <v>66</v>
      </c>
      <c r="K4" s="369" t="s">
        <v>208</v>
      </c>
      <c r="L4" s="360" t="s">
        <v>209</v>
      </c>
      <c r="M4" s="360" t="s">
        <v>210</v>
      </c>
      <c r="N4" s="360" t="s">
        <v>213</v>
      </c>
      <c r="O4" s="360" t="s">
        <v>276</v>
      </c>
      <c r="P4" s="346" t="s">
        <v>275</v>
      </c>
      <c r="Q4" s="373" t="s">
        <v>203</v>
      </c>
      <c r="R4" s="360" t="s">
        <v>204</v>
      </c>
      <c r="S4" s="360" t="s">
        <v>205</v>
      </c>
      <c r="T4" s="297" t="s">
        <v>206</v>
      </c>
      <c r="U4" s="360" t="s">
        <v>20</v>
      </c>
      <c r="V4" s="301" t="s">
        <v>304</v>
      </c>
      <c r="W4" s="359" t="s">
        <v>202</v>
      </c>
      <c r="X4" s="349"/>
      <c r="Y4" s="368"/>
      <c r="Z4" s="376"/>
      <c r="AA4" s="378"/>
    </row>
    <row r="5" spans="2:30" ht="34.5" customHeight="1" x14ac:dyDescent="0.2">
      <c r="B5" s="352"/>
      <c r="C5" s="359"/>
      <c r="D5" s="361"/>
      <c r="E5" s="349"/>
      <c r="F5" s="349"/>
      <c r="G5" s="348"/>
      <c r="H5" s="348"/>
      <c r="I5" s="349"/>
      <c r="J5" s="347"/>
      <c r="K5" s="370"/>
      <c r="L5" s="361"/>
      <c r="M5" s="361"/>
      <c r="N5" s="361"/>
      <c r="O5" s="361"/>
      <c r="P5" s="347"/>
      <c r="Q5" s="374"/>
      <c r="R5" s="361"/>
      <c r="S5" s="361"/>
      <c r="T5" s="298"/>
      <c r="U5" s="361"/>
      <c r="V5" s="104">
        <v>0.30499999999999999</v>
      </c>
      <c r="W5" s="359"/>
      <c r="X5" s="349"/>
      <c r="Y5" s="368"/>
      <c r="Z5" s="376"/>
      <c r="AA5" s="378"/>
    </row>
    <row r="6" spans="2:30" ht="18" x14ac:dyDescent="0.2">
      <c r="B6" s="140" t="s">
        <v>0</v>
      </c>
      <c r="C6" s="105"/>
      <c r="D6" s="110"/>
      <c r="E6" s="106"/>
      <c r="F6" s="106"/>
      <c r="G6" s="107"/>
      <c r="H6" s="107"/>
      <c r="I6" s="108"/>
      <c r="J6" s="109"/>
      <c r="K6" s="110"/>
      <c r="L6" s="111"/>
      <c r="M6" s="106"/>
      <c r="N6" s="108"/>
      <c r="O6" s="108"/>
      <c r="P6" s="109"/>
      <c r="Q6" s="112"/>
      <c r="R6" s="108"/>
      <c r="S6" s="108"/>
      <c r="T6" s="113"/>
      <c r="U6" s="113"/>
      <c r="V6" s="113"/>
      <c r="W6" s="97">
        <f>SUM(W9:W43)</f>
        <v>14574535.391576111</v>
      </c>
      <c r="X6" s="95"/>
      <c r="Y6" s="98"/>
      <c r="Z6" s="99"/>
      <c r="AA6" s="143"/>
    </row>
    <row r="7" spans="2:30" x14ac:dyDescent="0.2">
      <c r="B7" s="140" t="s">
        <v>23</v>
      </c>
      <c r="C7" s="114"/>
      <c r="D7" s="115"/>
      <c r="E7" s="100"/>
      <c r="F7" s="100"/>
      <c r="G7" s="102"/>
      <c r="H7" s="102"/>
      <c r="I7" s="102"/>
      <c r="J7" s="118">
        <f>SUM(J9:J43)</f>
        <v>37591.839999999997</v>
      </c>
      <c r="K7" s="115"/>
      <c r="L7" s="116"/>
      <c r="M7" s="116"/>
      <c r="N7" s="116"/>
      <c r="O7" s="117">
        <f t="shared" ref="O7:T7" si="0">SUM(O9:O43)</f>
        <v>8640000</v>
      </c>
      <c r="P7" s="118">
        <f t="shared" si="0"/>
        <v>9931034.4827586208</v>
      </c>
      <c r="Q7" s="119">
        <f t="shared" si="0"/>
        <v>348659.00383141765</v>
      </c>
      <c r="R7" s="117">
        <f t="shared" si="0"/>
        <v>818633.15592867194</v>
      </c>
      <c r="S7" s="117">
        <f t="shared" si="0"/>
        <v>0</v>
      </c>
      <c r="T7" s="117">
        <f t="shared" si="0"/>
        <v>91219.123089194851</v>
      </c>
      <c r="U7" s="117">
        <f>SUM(U9:U44)</f>
        <v>1454640.9495290278</v>
      </c>
      <c r="V7" s="117">
        <f>SUM(V9:V44)</f>
        <v>3384989.6259682067</v>
      </c>
      <c r="W7" s="120"/>
      <c r="X7" s="116"/>
      <c r="Y7" s="121"/>
      <c r="Z7" s="122"/>
      <c r="AA7" s="144"/>
    </row>
    <row r="8" spans="2:30" x14ac:dyDescent="0.2">
      <c r="B8" s="141"/>
      <c r="C8" s="123"/>
      <c r="D8" s="146"/>
      <c r="E8" s="96"/>
      <c r="F8" s="100"/>
      <c r="G8" s="102"/>
      <c r="H8" s="102"/>
      <c r="I8" s="102"/>
      <c r="J8" s="121"/>
      <c r="K8" s="115"/>
      <c r="L8" s="116"/>
      <c r="M8" s="116"/>
      <c r="N8" s="124"/>
      <c r="O8" s="116"/>
      <c r="P8" s="121"/>
      <c r="Q8" s="120"/>
      <c r="R8" s="116"/>
      <c r="S8" s="116"/>
      <c r="T8" s="116"/>
      <c r="U8" s="116"/>
      <c r="V8" s="116"/>
      <c r="W8" s="120"/>
      <c r="X8" s="116"/>
      <c r="Y8" s="121"/>
      <c r="Z8" s="122"/>
      <c r="AA8" s="144"/>
    </row>
    <row r="9" spans="2:30" x14ac:dyDescent="0.2">
      <c r="B9" s="101" t="s">
        <v>14</v>
      </c>
      <c r="C9" s="114">
        <v>1</v>
      </c>
      <c r="D9" s="147" t="s">
        <v>234</v>
      </c>
      <c r="E9" s="100" t="s">
        <v>215</v>
      </c>
      <c r="F9" s="100" t="s">
        <v>189</v>
      </c>
      <c r="G9" s="125">
        <v>8</v>
      </c>
      <c r="H9" s="125">
        <v>20.54</v>
      </c>
      <c r="I9" s="125">
        <v>12</v>
      </c>
      <c r="J9" s="121">
        <f>I9*H9*G9*C9</f>
        <v>1971.84</v>
      </c>
      <c r="K9" s="126">
        <v>70000</v>
      </c>
      <c r="L9" s="116">
        <f t="shared" ref="L9:L43" si="1">IF(H9&gt;0,K9/H9,)</f>
        <v>3407.9844206426487</v>
      </c>
      <c r="M9" s="116">
        <f t="shared" ref="M9:M43" si="2">IF(G9&gt;0,L9/G9,)</f>
        <v>425.99805258033109</v>
      </c>
      <c r="N9" s="116">
        <f>C9*K9</f>
        <v>70000</v>
      </c>
      <c r="O9" s="116">
        <f t="shared" ref="O9:O43" si="3">N9*I9</f>
        <v>840000</v>
      </c>
      <c r="P9" s="121">
        <f t="shared" ref="P9:P43" si="4">O9/0.87</f>
        <v>965517.24137931038</v>
      </c>
      <c r="Q9" s="127"/>
      <c r="R9" s="125">
        <f t="shared" ref="R9:R43" si="5">IF(J9&gt;0,(P9+Q9)/J9/29.3*28*100%/12*J9,0)</f>
        <v>76889.882703699346</v>
      </c>
      <c r="S9" s="125"/>
      <c r="T9" s="116">
        <f>SUM(P9:S9)*2/730*3</f>
        <v>8567.729786983642</v>
      </c>
      <c r="U9" s="116">
        <f t="shared" ref="U9:U43" si="6">SUM(P9:T9)*13%</f>
        <v>136626.73100309915</v>
      </c>
      <c r="V9" s="116">
        <f>SUM(P9:S9)*$V$5</f>
        <v>317934.17284531798</v>
      </c>
      <c r="W9" s="120">
        <f t="shared" ref="W9:W43" si="7">SUM(P9:T9,V9:V9)</f>
        <v>1368909.0267153115</v>
      </c>
      <c r="X9" s="116">
        <f t="shared" ref="X9:X43" si="8">IF(I9&gt;0,W9/I9,0)</f>
        <v>114075.75222627596</v>
      </c>
      <c r="Y9" s="128">
        <f t="shared" ref="Y9:Y43" si="9">IF(J9&gt;0,W9/J9,)</f>
        <v>694.22926135757029</v>
      </c>
      <c r="Z9" s="142">
        <f>IF(Y9&gt;0,VLOOKUP(Калькуляция!$C$4,'ЗП по стандарту АКФО'!$D$3:$E$134,2,FALSE),"")</f>
        <v>210</v>
      </c>
      <c r="AA9" s="145">
        <f>IF(Y9&gt;0,(M9-Z9)/Z9,"")</f>
        <v>1.0285621551444337</v>
      </c>
      <c r="AD9" s="170">
        <f t="shared" ref="AD9:AD43" si="10">(2100+1040)/12*I9*C9</f>
        <v>3140</v>
      </c>
    </row>
    <row r="10" spans="2:30" x14ac:dyDescent="0.2">
      <c r="B10" s="101"/>
      <c r="C10" s="114"/>
      <c r="D10" s="147"/>
      <c r="E10" s="100"/>
      <c r="F10" s="100"/>
      <c r="G10" s="125"/>
      <c r="H10" s="125"/>
      <c r="I10" s="125"/>
      <c r="J10" s="121">
        <f t="shared" ref="J10:J43" si="11">I10*H10*G10*C10</f>
        <v>0</v>
      </c>
      <c r="K10" s="126"/>
      <c r="L10" s="116">
        <f t="shared" si="1"/>
        <v>0</v>
      </c>
      <c r="M10" s="116">
        <f t="shared" si="2"/>
        <v>0</v>
      </c>
      <c r="N10" s="116">
        <f>C10*K10</f>
        <v>0</v>
      </c>
      <c r="O10" s="116">
        <f t="shared" si="3"/>
        <v>0</v>
      </c>
      <c r="P10" s="121">
        <f t="shared" si="4"/>
        <v>0</v>
      </c>
      <c r="Q10" s="127">
        <f t="shared" ref="Q10:Q43" si="12">IF(L10&gt;0,L10/0.87*14/30*H10/12*I10*C10,)</f>
        <v>0</v>
      </c>
      <c r="R10" s="125">
        <f t="shared" si="5"/>
        <v>0</v>
      </c>
      <c r="S10" s="125"/>
      <c r="T10" s="116">
        <f t="shared" ref="T10:T43" si="13">SUM(P10:S10)*2/730*3</f>
        <v>0</v>
      </c>
      <c r="U10" s="116">
        <f t="shared" si="6"/>
        <v>0</v>
      </c>
      <c r="V10" s="116">
        <f t="shared" ref="V10:V43" si="14">SUM(P10:S10)*$V$5</f>
        <v>0</v>
      </c>
      <c r="W10" s="120">
        <f t="shared" si="7"/>
        <v>0</v>
      </c>
      <c r="X10" s="116">
        <f t="shared" si="8"/>
        <v>0</v>
      </c>
      <c r="Y10" s="128">
        <f t="shared" si="9"/>
        <v>0</v>
      </c>
      <c r="Z10" s="142" t="str">
        <f>IF(Y10&gt;0,VLOOKUP(Калькуляция!$C$4,'ЗП по стандарту АКФО'!$D$3:$E$134,2,FALSE),"")</f>
        <v/>
      </c>
      <c r="AA10" s="145" t="str">
        <f t="shared" ref="AA10:AA43" si="15">IF(Y10&gt;0,(M10-Z10)/Z10,"")</f>
        <v/>
      </c>
      <c r="AD10" s="170">
        <f t="shared" si="10"/>
        <v>0</v>
      </c>
    </row>
    <row r="11" spans="2:30" x14ac:dyDescent="0.2">
      <c r="B11" s="101"/>
      <c r="C11" s="114"/>
      <c r="D11" s="147"/>
      <c r="E11" s="100"/>
      <c r="F11" s="100"/>
      <c r="G11" s="102"/>
      <c r="H11" s="102"/>
      <c r="I11" s="102"/>
      <c r="J11" s="121">
        <f t="shared" si="11"/>
        <v>0</v>
      </c>
      <c r="K11" s="129"/>
      <c r="L11" s="116">
        <f t="shared" si="1"/>
        <v>0</v>
      </c>
      <c r="M11" s="116">
        <f t="shared" si="2"/>
        <v>0</v>
      </c>
      <c r="N11" s="116">
        <f>C11*K11</f>
        <v>0</v>
      </c>
      <c r="O11" s="116">
        <f t="shared" si="3"/>
        <v>0</v>
      </c>
      <c r="P11" s="121">
        <f t="shared" si="4"/>
        <v>0</v>
      </c>
      <c r="Q11" s="127">
        <f t="shared" si="12"/>
        <v>0</v>
      </c>
      <c r="R11" s="125">
        <f t="shared" si="5"/>
        <v>0</v>
      </c>
      <c r="S11" s="125"/>
      <c r="T11" s="116">
        <f t="shared" si="13"/>
        <v>0</v>
      </c>
      <c r="U11" s="116">
        <f t="shared" si="6"/>
        <v>0</v>
      </c>
      <c r="V11" s="116">
        <f t="shared" si="14"/>
        <v>0</v>
      </c>
      <c r="W11" s="120">
        <f t="shared" si="7"/>
        <v>0</v>
      </c>
      <c r="X11" s="116">
        <f t="shared" si="8"/>
        <v>0</v>
      </c>
      <c r="Y11" s="128">
        <f t="shared" si="9"/>
        <v>0</v>
      </c>
      <c r="Z11" s="142" t="str">
        <f>IF(Y11&gt;0,VLOOKUP(Калькуляция!$C$4,'ЗП по стандарту АКФО'!$D$3:$E$134,2,FALSE),"")</f>
        <v/>
      </c>
      <c r="AA11" s="145" t="str">
        <f t="shared" si="15"/>
        <v/>
      </c>
      <c r="AD11" s="170">
        <f t="shared" si="10"/>
        <v>0</v>
      </c>
    </row>
    <row r="12" spans="2:30" x14ac:dyDescent="0.2">
      <c r="B12" s="101"/>
      <c r="C12" s="114"/>
      <c r="D12" s="147"/>
      <c r="E12" s="100"/>
      <c r="F12" s="100"/>
      <c r="G12" s="102"/>
      <c r="H12" s="102"/>
      <c r="I12" s="102"/>
      <c r="J12" s="121">
        <f t="shared" si="11"/>
        <v>0</v>
      </c>
      <c r="K12" s="129"/>
      <c r="L12" s="116">
        <f t="shared" si="1"/>
        <v>0</v>
      </c>
      <c r="M12" s="116">
        <f t="shared" si="2"/>
        <v>0</v>
      </c>
      <c r="N12" s="116">
        <f t="shared" ref="N12:N41" si="16">C12*K12</f>
        <v>0</v>
      </c>
      <c r="O12" s="116">
        <f t="shared" si="3"/>
        <v>0</v>
      </c>
      <c r="P12" s="121">
        <f t="shared" si="4"/>
        <v>0</v>
      </c>
      <c r="Q12" s="127">
        <f t="shared" si="12"/>
        <v>0</v>
      </c>
      <c r="R12" s="125">
        <f t="shared" si="5"/>
        <v>0</v>
      </c>
      <c r="S12" s="125"/>
      <c r="T12" s="116">
        <f t="shared" si="13"/>
        <v>0</v>
      </c>
      <c r="U12" s="116">
        <f t="shared" si="6"/>
        <v>0</v>
      </c>
      <c r="V12" s="116">
        <f t="shared" si="14"/>
        <v>0</v>
      </c>
      <c r="W12" s="120">
        <f t="shared" si="7"/>
        <v>0</v>
      </c>
      <c r="X12" s="116">
        <f t="shared" si="8"/>
        <v>0</v>
      </c>
      <c r="Y12" s="128">
        <f t="shared" si="9"/>
        <v>0</v>
      </c>
      <c r="Z12" s="142" t="str">
        <f>IF(Y12&gt;0,VLOOKUP(Калькуляция!$C$4,'ЗП по стандарту АКФО'!$D$3:$E$134,2,FALSE),"")</f>
        <v/>
      </c>
      <c r="AA12" s="145" t="str">
        <f t="shared" si="15"/>
        <v/>
      </c>
      <c r="AD12" s="170">
        <f t="shared" si="10"/>
        <v>0</v>
      </c>
    </row>
    <row r="13" spans="2:30" x14ac:dyDescent="0.2">
      <c r="B13" s="101" t="s">
        <v>48</v>
      </c>
      <c r="C13" s="114">
        <v>5</v>
      </c>
      <c r="D13" s="147" t="s">
        <v>240</v>
      </c>
      <c r="E13" s="100" t="s">
        <v>187</v>
      </c>
      <c r="F13" s="100" t="s">
        <v>255</v>
      </c>
      <c r="G13" s="102">
        <v>10</v>
      </c>
      <c r="H13" s="102">
        <v>26</v>
      </c>
      <c r="I13" s="102">
        <v>12</v>
      </c>
      <c r="J13" s="121">
        <f t="shared" si="11"/>
        <v>15600</v>
      </c>
      <c r="K13" s="126">
        <v>58000</v>
      </c>
      <c r="L13" s="116">
        <f t="shared" si="1"/>
        <v>2230.7692307692309</v>
      </c>
      <c r="M13" s="116">
        <f t="shared" si="2"/>
        <v>223.07692307692309</v>
      </c>
      <c r="N13" s="116">
        <f t="shared" si="16"/>
        <v>290000</v>
      </c>
      <c r="O13" s="116">
        <f t="shared" si="3"/>
        <v>3480000</v>
      </c>
      <c r="P13" s="121">
        <f t="shared" si="4"/>
        <v>4000000</v>
      </c>
      <c r="Q13" s="127">
        <f t="shared" si="12"/>
        <v>155555.55555555559</v>
      </c>
      <c r="R13" s="125">
        <f>IF(I13&gt;0,(P13+Q13)/I13/29.3*28*100%/12*I13,0)</f>
        <v>330931.61420806474</v>
      </c>
      <c r="S13" s="125"/>
      <c r="T13" s="116">
        <f t="shared" si="13"/>
        <v>36875.23701175578</v>
      </c>
      <c r="U13" s="116">
        <f t="shared" si="6"/>
        <v>588037.11288079887</v>
      </c>
      <c r="V13" s="116">
        <f t="shared" si="14"/>
        <v>1368378.5867779041</v>
      </c>
      <c r="W13" s="120">
        <f t="shared" si="7"/>
        <v>5891740.9935532799</v>
      </c>
      <c r="X13" s="116">
        <f t="shared" si="8"/>
        <v>490978.41612944001</v>
      </c>
      <c r="Y13" s="128">
        <f t="shared" si="9"/>
        <v>377.67570471495384</v>
      </c>
      <c r="Z13" s="142">
        <f>IF(Y13&gt;0,VLOOKUP(Калькуляция!$C$4,'ЗП по стандарту АКФО'!$D$3:$E$134,2,FALSE),"")</f>
        <v>210</v>
      </c>
      <c r="AA13" s="145">
        <f t="shared" si="15"/>
        <v>6.2271062271062355E-2</v>
      </c>
      <c r="AD13" s="170">
        <f t="shared" si="10"/>
        <v>15700</v>
      </c>
    </row>
    <row r="14" spans="2:30" x14ac:dyDescent="0.2">
      <c r="B14" s="101" t="s">
        <v>49</v>
      </c>
      <c r="C14" s="114">
        <v>3</v>
      </c>
      <c r="D14" s="147" t="s">
        <v>235</v>
      </c>
      <c r="E14" s="100" t="s">
        <v>187</v>
      </c>
      <c r="F14" s="100" t="s">
        <v>255</v>
      </c>
      <c r="G14" s="102">
        <v>10</v>
      </c>
      <c r="H14" s="102">
        <v>26</v>
      </c>
      <c r="I14" s="102">
        <v>12</v>
      </c>
      <c r="J14" s="121">
        <f t="shared" si="11"/>
        <v>9360</v>
      </c>
      <c r="K14" s="126">
        <v>56000</v>
      </c>
      <c r="L14" s="116">
        <f t="shared" si="1"/>
        <v>2153.8461538461538</v>
      </c>
      <c r="M14" s="116">
        <f t="shared" si="2"/>
        <v>215.38461538461539</v>
      </c>
      <c r="N14" s="116">
        <f t="shared" si="16"/>
        <v>168000</v>
      </c>
      <c r="O14" s="116">
        <f t="shared" si="3"/>
        <v>2016000</v>
      </c>
      <c r="P14" s="121">
        <f t="shared" si="4"/>
        <v>2317241.3793103448</v>
      </c>
      <c r="Q14" s="127">
        <f t="shared" si="12"/>
        <v>90114.942528735613</v>
      </c>
      <c r="R14" s="125">
        <f t="shared" si="5"/>
        <v>191712.10754122364</v>
      </c>
      <c r="S14" s="125"/>
      <c r="T14" s="116">
        <f t="shared" si="13"/>
        <v>21362.206268879207</v>
      </c>
      <c r="U14" s="116">
        <f t="shared" si="6"/>
        <v>340655.98263439379</v>
      </c>
      <c r="V14" s="116">
        <f t="shared" si="14"/>
        <v>792715.87096099264</v>
      </c>
      <c r="W14" s="120">
        <f t="shared" si="7"/>
        <v>3413146.5066101756</v>
      </c>
      <c r="X14" s="116">
        <f t="shared" si="8"/>
        <v>284428.87555084797</v>
      </c>
      <c r="Y14" s="128">
        <f t="shared" si="9"/>
        <v>364.65240455236921</v>
      </c>
      <c r="Z14" s="142">
        <f>IF(Y14&gt;0,VLOOKUP(Калькуляция!$C$4,'ЗП по стандарту АКФО'!$D$3:$E$134,2,FALSE),"")</f>
        <v>210</v>
      </c>
      <c r="AA14" s="145">
        <f t="shared" si="15"/>
        <v>2.5641025641025651E-2</v>
      </c>
      <c r="AD14" s="170">
        <f t="shared" si="10"/>
        <v>9420</v>
      </c>
    </row>
    <row r="15" spans="2:30" x14ac:dyDescent="0.2">
      <c r="B15" s="101"/>
      <c r="C15" s="114"/>
      <c r="D15" s="147"/>
      <c r="E15" s="100"/>
      <c r="F15" s="100"/>
      <c r="G15" s="102"/>
      <c r="H15" s="102"/>
      <c r="I15" s="102"/>
      <c r="J15" s="121">
        <f t="shared" si="11"/>
        <v>0</v>
      </c>
      <c r="K15" s="126"/>
      <c r="L15" s="116">
        <f t="shared" si="1"/>
        <v>0</v>
      </c>
      <c r="M15" s="116">
        <f t="shared" si="2"/>
        <v>0</v>
      </c>
      <c r="N15" s="116">
        <f t="shared" si="16"/>
        <v>0</v>
      </c>
      <c r="O15" s="116">
        <f t="shared" si="3"/>
        <v>0</v>
      </c>
      <c r="P15" s="121">
        <f t="shared" si="4"/>
        <v>0</v>
      </c>
      <c r="Q15" s="127">
        <f t="shared" si="12"/>
        <v>0</v>
      </c>
      <c r="R15" s="125">
        <f t="shared" si="5"/>
        <v>0</v>
      </c>
      <c r="S15" s="125"/>
      <c r="T15" s="116">
        <f t="shared" si="13"/>
        <v>0</v>
      </c>
      <c r="U15" s="116">
        <f t="shared" si="6"/>
        <v>0</v>
      </c>
      <c r="V15" s="116">
        <f t="shared" si="14"/>
        <v>0</v>
      </c>
      <c r="W15" s="120">
        <f t="shared" si="7"/>
        <v>0</v>
      </c>
      <c r="X15" s="116">
        <f t="shared" si="8"/>
        <v>0</v>
      </c>
      <c r="Y15" s="128">
        <f t="shared" si="9"/>
        <v>0</v>
      </c>
      <c r="Z15" s="142" t="str">
        <f>IF(Y15&gt;0,VLOOKUP(Калькуляция!$C$4,'ЗП по стандарту АКФО'!$D$3:$E$134,2,FALSE),"")</f>
        <v/>
      </c>
      <c r="AA15" s="145" t="str">
        <f t="shared" si="15"/>
        <v/>
      </c>
      <c r="AD15" s="170">
        <f t="shared" si="10"/>
        <v>0</v>
      </c>
    </row>
    <row r="16" spans="2:30" x14ac:dyDescent="0.2">
      <c r="B16" s="101" t="s">
        <v>231</v>
      </c>
      <c r="C16" s="114">
        <v>1</v>
      </c>
      <c r="D16" s="147" t="s">
        <v>236</v>
      </c>
      <c r="E16" s="100" t="s">
        <v>187</v>
      </c>
      <c r="F16" s="100" t="s">
        <v>255</v>
      </c>
      <c r="G16" s="102">
        <v>10</v>
      </c>
      <c r="H16" s="102">
        <v>26</v>
      </c>
      <c r="I16" s="102">
        <v>12</v>
      </c>
      <c r="J16" s="121">
        <f t="shared" si="11"/>
        <v>3120</v>
      </c>
      <c r="K16" s="126">
        <v>55000</v>
      </c>
      <c r="L16" s="116">
        <f t="shared" si="1"/>
        <v>2115.3846153846152</v>
      </c>
      <c r="M16" s="116">
        <f t="shared" si="2"/>
        <v>211.53846153846152</v>
      </c>
      <c r="N16" s="116">
        <f t="shared" si="16"/>
        <v>55000</v>
      </c>
      <c r="O16" s="116">
        <f t="shared" si="3"/>
        <v>660000</v>
      </c>
      <c r="P16" s="121">
        <f t="shared" si="4"/>
        <v>758620.68965517241</v>
      </c>
      <c r="Q16" s="127">
        <f t="shared" si="12"/>
        <v>29501.915708812259</v>
      </c>
      <c r="R16" s="125">
        <f t="shared" si="5"/>
        <v>62762.89234980537</v>
      </c>
      <c r="S16" s="125"/>
      <c r="T16" s="116">
        <f t="shared" si="13"/>
        <v>6993.5794332640271</v>
      </c>
      <c r="U16" s="116">
        <f t="shared" si="6"/>
        <v>111524.28002911703</v>
      </c>
      <c r="V16" s="116">
        <f t="shared" si="14"/>
        <v>259520.07680270597</v>
      </c>
      <c r="W16" s="120">
        <f t="shared" si="7"/>
        <v>1117399.1539497599</v>
      </c>
      <c r="X16" s="116">
        <f t="shared" si="8"/>
        <v>93116.596162479997</v>
      </c>
      <c r="Y16" s="128">
        <f t="shared" si="9"/>
        <v>358.14075447107689</v>
      </c>
      <c r="Z16" s="142">
        <f>IF(Y16&gt;0,VLOOKUP(Калькуляция!$C$4,'ЗП по стандарту АКФО'!$D$3:$E$134,2,FALSE),"")</f>
        <v>210</v>
      </c>
      <c r="AA16" s="145">
        <f t="shared" si="15"/>
        <v>7.3260073260072323E-3</v>
      </c>
      <c r="AD16" s="170">
        <f t="shared" si="10"/>
        <v>3140</v>
      </c>
    </row>
    <row r="17" spans="2:30" x14ac:dyDescent="0.2">
      <c r="B17" s="101"/>
      <c r="C17" s="114"/>
      <c r="D17" s="147"/>
      <c r="E17" s="100"/>
      <c r="F17" s="100"/>
      <c r="G17" s="102"/>
      <c r="H17" s="102"/>
      <c r="I17" s="102"/>
      <c r="J17" s="121">
        <f t="shared" si="11"/>
        <v>0</v>
      </c>
      <c r="K17" s="126"/>
      <c r="L17" s="116">
        <f t="shared" si="1"/>
        <v>0</v>
      </c>
      <c r="M17" s="116">
        <f t="shared" si="2"/>
        <v>0</v>
      </c>
      <c r="N17" s="116">
        <f t="shared" si="16"/>
        <v>0</v>
      </c>
      <c r="O17" s="116">
        <f t="shared" si="3"/>
        <v>0</v>
      </c>
      <c r="P17" s="121">
        <f t="shared" si="4"/>
        <v>0</v>
      </c>
      <c r="Q17" s="127">
        <f t="shared" si="12"/>
        <v>0</v>
      </c>
      <c r="R17" s="125">
        <f t="shared" si="5"/>
        <v>0</v>
      </c>
      <c r="S17" s="125"/>
      <c r="T17" s="116">
        <f t="shared" si="13"/>
        <v>0</v>
      </c>
      <c r="U17" s="116">
        <f t="shared" si="6"/>
        <v>0</v>
      </c>
      <c r="V17" s="116">
        <f t="shared" si="14"/>
        <v>0</v>
      </c>
      <c r="W17" s="120">
        <f t="shared" si="7"/>
        <v>0</v>
      </c>
      <c r="X17" s="116">
        <f t="shared" si="8"/>
        <v>0</v>
      </c>
      <c r="Y17" s="128">
        <f t="shared" si="9"/>
        <v>0</v>
      </c>
      <c r="Z17" s="142" t="str">
        <f>IF(Y17&gt;0,VLOOKUP(Калькуляция!$C$4,'ЗП по стандарту АКФО'!$D$3:$E$134,2,FALSE),"")</f>
        <v/>
      </c>
      <c r="AA17" s="145" t="str">
        <f t="shared" si="15"/>
        <v/>
      </c>
      <c r="AD17" s="170">
        <f t="shared" si="10"/>
        <v>0</v>
      </c>
    </row>
    <row r="18" spans="2:30" x14ac:dyDescent="0.2">
      <c r="B18" s="101" t="s">
        <v>50</v>
      </c>
      <c r="C18" s="114">
        <v>2</v>
      </c>
      <c r="D18" s="147" t="s">
        <v>241</v>
      </c>
      <c r="E18" s="100" t="s">
        <v>187</v>
      </c>
      <c r="F18" s="100" t="s">
        <v>255</v>
      </c>
      <c r="G18" s="102">
        <v>10</v>
      </c>
      <c r="H18" s="102">
        <v>26</v>
      </c>
      <c r="I18" s="102">
        <v>12</v>
      </c>
      <c r="J18" s="121">
        <f t="shared" si="11"/>
        <v>6240</v>
      </c>
      <c r="K18" s="126">
        <v>56000</v>
      </c>
      <c r="L18" s="116">
        <f t="shared" si="1"/>
        <v>2153.8461538461538</v>
      </c>
      <c r="M18" s="116">
        <f t="shared" si="2"/>
        <v>215.38461538461539</v>
      </c>
      <c r="N18" s="116">
        <f t="shared" si="16"/>
        <v>112000</v>
      </c>
      <c r="O18" s="116">
        <f t="shared" si="3"/>
        <v>1344000</v>
      </c>
      <c r="P18" s="121">
        <f t="shared" si="4"/>
        <v>1544827.5862068965</v>
      </c>
      <c r="Q18" s="127">
        <f t="shared" si="12"/>
        <v>60076.628352490414</v>
      </c>
      <c r="R18" s="125">
        <f t="shared" si="5"/>
        <v>127808.07169414914</v>
      </c>
      <c r="S18" s="125"/>
      <c r="T18" s="116">
        <f t="shared" si="13"/>
        <v>14241.470845919474</v>
      </c>
      <c r="U18" s="116">
        <f t="shared" si="6"/>
        <v>227103.98842292925</v>
      </c>
      <c r="V18" s="116">
        <f t="shared" si="14"/>
        <v>528477.24730732851</v>
      </c>
      <c r="W18" s="120">
        <f t="shared" si="7"/>
        <v>2275431.0044067842</v>
      </c>
      <c r="X18" s="116">
        <f t="shared" si="8"/>
        <v>189619.25036723202</v>
      </c>
      <c r="Y18" s="128">
        <f t="shared" si="9"/>
        <v>364.65240455236926</v>
      </c>
      <c r="Z18" s="142">
        <f>IF(Y18&gt;0,VLOOKUP(Калькуляция!$C$4,'ЗП по стандарту АКФО'!$D$3:$E$134,2,FALSE),"")</f>
        <v>210</v>
      </c>
      <c r="AA18" s="145">
        <f t="shared" si="15"/>
        <v>2.5641025641025651E-2</v>
      </c>
      <c r="AD18" s="170">
        <f t="shared" si="10"/>
        <v>6280</v>
      </c>
    </row>
    <row r="19" spans="2:30" x14ac:dyDescent="0.2">
      <c r="B19" s="101"/>
      <c r="C19" s="114"/>
      <c r="D19" s="147"/>
      <c r="E19" s="100"/>
      <c r="F19" s="100"/>
      <c r="G19" s="102"/>
      <c r="H19" s="102"/>
      <c r="I19" s="102"/>
      <c r="J19" s="121">
        <f t="shared" si="11"/>
        <v>0</v>
      </c>
      <c r="K19" s="126"/>
      <c r="L19" s="116">
        <f t="shared" si="1"/>
        <v>0</v>
      </c>
      <c r="M19" s="116">
        <f t="shared" si="2"/>
        <v>0</v>
      </c>
      <c r="N19" s="116">
        <f t="shared" si="16"/>
        <v>0</v>
      </c>
      <c r="O19" s="116">
        <f t="shared" si="3"/>
        <v>0</v>
      </c>
      <c r="P19" s="121">
        <f t="shared" si="4"/>
        <v>0</v>
      </c>
      <c r="Q19" s="127">
        <f t="shared" si="12"/>
        <v>0</v>
      </c>
      <c r="R19" s="125">
        <f t="shared" si="5"/>
        <v>0</v>
      </c>
      <c r="S19" s="125"/>
      <c r="T19" s="116">
        <f t="shared" si="13"/>
        <v>0</v>
      </c>
      <c r="U19" s="116">
        <f t="shared" si="6"/>
        <v>0</v>
      </c>
      <c r="V19" s="116">
        <f t="shared" si="14"/>
        <v>0</v>
      </c>
      <c r="W19" s="120">
        <f t="shared" si="7"/>
        <v>0</v>
      </c>
      <c r="X19" s="116">
        <f t="shared" si="8"/>
        <v>0</v>
      </c>
      <c r="Y19" s="128">
        <f t="shared" si="9"/>
        <v>0</v>
      </c>
      <c r="Z19" s="142" t="str">
        <f>IF(Y19&gt;0,VLOOKUP(Калькуляция!$C$4,'ЗП по стандарту АКФО'!$D$3:$E$134,2,FALSE),"")</f>
        <v/>
      </c>
      <c r="AA19" s="145" t="str">
        <f t="shared" si="15"/>
        <v/>
      </c>
      <c r="AD19" s="170">
        <f t="shared" si="10"/>
        <v>0</v>
      </c>
    </row>
    <row r="20" spans="2:30" x14ac:dyDescent="0.2">
      <c r="B20" s="101" t="s">
        <v>51</v>
      </c>
      <c r="C20" s="114">
        <v>1</v>
      </c>
      <c r="D20" s="147" t="s">
        <v>237</v>
      </c>
      <c r="E20" s="100" t="s">
        <v>187</v>
      </c>
      <c r="F20" s="100" t="s">
        <v>255</v>
      </c>
      <c r="G20" s="102">
        <v>10</v>
      </c>
      <c r="H20" s="102">
        <v>26</v>
      </c>
      <c r="I20" s="102">
        <v>5</v>
      </c>
      <c r="J20" s="121">
        <f t="shared" si="11"/>
        <v>1300</v>
      </c>
      <c r="K20" s="126">
        <v>60000</v>
      </c>
      <c r="L20" s="116">
        <f t="shared" si="1"/>
        <v>2307.6923076923076</v>
      </c>
      <c r="M20" s="116">
        <f t="shared" si="2"/>
        <v>230.76923076923077</v>
      </c>
      <c r="N20" s="116">
        <f t="shared" si="16"/>
        <v>60000</v>
      </c>
      <c r="O20" s="116">
        <f t="shared" si="3"/>
        <v>300000</v>
      </c>
      <c r="P20" s="121">
        <f t="shared" si="4"/>
        <v>344827.58620689658</v>
      </c>
      <c r="Q20" s="127">
        <f t="shared" si="12"/>
        <v>13409.961685823755</v>
      </c>
      <c r="R20" s="125">
        <f t="shared" si="5"/>
        <v>28528.587431729724</v>
      </c>
      <c r="S20" s="125"/>
      <c r="T20" s="116">
        <f t="shared" si="13"/>
        <v>3178.8997423927403</v>
      </c>
      <c r="U20" s="116">
        <f t="shared" si="6"/>
        <v>50692.854558689563</v>
      </c>
      <c r="V20" s="116">
        <f t="shared" si="14"/>
        <v>117963.67127395725</v>
      </c>
      <c r="W20" s="120">
        <f t="shared" si="7"/>
        <v>507908.70634080004</v>
      </c>
      <c r="X20" s="116">
        <f t="shared" si="8"/>
        <v>101581.74126816001</v>
      </c>
      <c r="Y20" s="128">
        <f t="shared" si="9"/>
        <v>390.69900487753847</v>
      </c>
      <c r="Z20" s="142">
        <f>IF(Y20&gt;0,VLOOKUP(Калькуляция!$C$4,'ЗП по стандарту АКФО'!$D$3:$E$134,2,FALSE),"")</f>
        <v>210</v>
      </c>
      <c r="AA20" s="145">
        <f>IF(Y20&gt;0,(M20-Z20)/Z20,"")</f>
        <v>9.8901098901098924E-2</v>
      </c>
      <c r="AD20" s="170">
        <f t="shared" si="10"/>
        <v>1308.3333333333335</v>
      </c>
    </row>
    <row r="21" spans="2:30" x14ac:dyDescent="0.2">
      <c r="B21" s="101"/>
      <c r="C21" s="114"/>
      <c r="D21" s="147"/>
      <c r="E21" s="100"/>
      <c r="F21" s="100"/>
      <c r="G21" s="102"/>
      <c r="H21" s="102"/>
      <c r="I21" s="102"/>
      <c r="J21" s="121">
        <f t="shared" si="11"/>
        <v>0</v>
      </c>
      <c r="K21" s="129"/>
      <c r="L21" s="116">
        <f t="shared" si="1"/>
        <v>0</v>
      </c>
      <c r="M21" s="116">
        <f t="shared" si="2"/>
        <v>0</v>
      </c>
      <c r="N21" s="116">
        <f t="shared" si="16"/>
        <v>0</v>
      </c>
      <c r="O21" s="116">
        <f t="shared" si="3"/>
        <v>0</v>
      </c>
      <c r="P21" s="121">
        <f t="shared" si="4"/>
        <v>0</v>
      </c>
      <c r="Q21" s="127">
        <f t="shared" si="12"/>
        <v>0</v>
      </c>
      <c r="R21" s="125">
        <f t="shared" si="5"/>
        <v>0</v>
      </c>
      <c r="S21" s="125"/>
      <c r="T21" s="116">
        <f t="shared" si="13"/>
        <v>0</v>
      </c>
      <c r="U21" s="116">
        <f t="shared" si="6"/>
        <v>0</v>
      </c>
      <c r="V21" s="116">
        <f t="shared" si="14"/>
        <v>0</v>
      </c>
      <c r="W21" s="120">
        <f t="shared" si="7"/>
        <v>0</v>
      </c>
      <c r="X21" s="116">
        <f t="shared" si="8"/>
        <v>0</v>
      </c>
      <c r="Y21" s="128">
        <f t="shared" si="9"/>
        <v>0</v>
      </c>
      <c r="Z21" s="142" t="str">
        <f>IF(Y21&gt;0,VLOOKUP(Калькуляция!$C$4,'ЗП по стандарту АКФО'!$D$3:$E$134,2,FALSE),"")</f>
        <v/>
      </c>
      <c r="AA21" s="145" t="str">
        <f t="shared" si="15"/>
        <v/>
      </c>
      <c r="AD21" s="170">
        <f t="shared" si="10"/>
        <v>0</v>
      </c>
    </row>
    <row r="22" spans="2:30" x14ac:dyDescent="0.2">
      <c r="B22" s="101"/>
      <c r="C22" s="114"/>
      <c r="D22" s="147"/>
      <c r="E22" s="100"/>
      <c r="F22" s="100"/>
      <c r="G22" s="102"/>
      <c r="H22" s="102"/>
      <c r="I22" s="102"/>
      <c r="J22" s="121">
        <f t="shared" si="11"/>
        <v>0</v>
      </c>
      <c r="K22" s="126"/>
      <c r="L22" s="116">
        <f t="shared" si="1"/>
        <v>0</v>
      </c>
      <c r="M22" s="116">
        <f t="shared" si="2"/>
        <v>0</v>
      </c>
      <c r="N22" s="116">
        <f t="shared" si="16"/>
        <v>0</v>
      </c>
      <c r="O22" s="116">
        <f t="shared" si="3"/>
        <v>0</v>
      </c>
      <c r="P22" s="121">
        <f t="shared" si="4"/>
        <v>0</v>
      </c>
      <c r="Q22" s="127">
        <f t="shared" si="12"/>
        <v>0</v>
      </c>
      <c r="R22" s="125">
        <f t="shared" si="5"/>
        <v>0</v>
      </c>
      <c r="S22" s="125"/>
      <c r="T22" s="116">
        <f t="shared" si="13"/>
        <v>0</v>
      </c>
      <c r="U22" s="116">
        <f t="shared" si="6"/>
        <v>0</v>
      </c>
      <c r="V22" s="116">
        <f t="shared" si="14"/>
        <v>0</v>
      </c>
      <c r="W22" s="120">
        <f t="shared" si="7"/>
        <v>0</v>
      </c>
      <c r="X22" s="116">
        <f t="shared" si="8"/>
        <v>0</v>
      </c>
      <c r="Y22" s="128">
        <f t="shared" si="9"/>
        <v>0</v>
      </c>
      <c r="Z22" s="142" t="str">
        <f>IF(Y22&gt;0,VLOOKUP(Калькуляция!$C$4,'ЗП по стандарту АКФО'!$D$3:$E$134,2,FALSE),"")</f>
        <v/>
      </c>
      <c r="AA22" s="145" t="str">
        <f t="shared" si="15"/>
        <v/>
      </c>
      <c r="AD22" s="170">
        <f t="shared" si="10"/>
        <v>0</v>
      </c>
    </row>
    <row r="23" spans="2:30" x14ac:dyDescent="0.2">
      <c r="B23" s="101"/>
      <c r="C23" s="114"/>
      <c r="D23" s="147"/>
      <c r="E23" s="100"/>
      <c r="F23" s="100"/>
      <c r="G23" s="102"/>
      <c r="H23" s="102"/>
      <c r="I23" s="102"/>
      <c r="J23" s="121">
        <f t="shared" si="11"/>
        <v>0</v>
      </c>
      <c r="K23" s="126"/>
      <c r="L23" s="116">
        <f t="shared" si="1"/>
        <v>0</v>
      </c>
      <c r="M23" s="116">
        <f t="shared" si="2"/>
        <v>0</v>
      </c>
      <c r="N23" s="116">
        <f t="shared" si="16"/>
        <v>0</v>
      </c>
      <c r="O23" s="116">
        <f t="shared" si="3"/>
        <v>0</v>
      </c>
      <c r="P23" s="121">
        <f t="shared" si="4"/>
        <v>0</v>
      </c>
      <c r="Q23" s="127">
        <f t="shared" si="12"/>
        <v>0</v>
      </c>
      <c r="R23" s="125">
        <f t="shared" si="5"/>
        <v>0</v>
      </c>
      <c r="S23" s="125"/>
      <c r="T23" s="116">
        <f t="shared" si="13"/>
        <v>0</v>
      </c>
      <c r="U23" s="116">
        <f t="shared" si="6"/>
        <v>0</v>
      </c>
      <c r="V23" s="116">
        <f t="shared" si="14"/>
        <v>0</v>
      </c>
      <c r="W23" s="120">
        <f t="shared" si="7"/>
        <v>0</v>
      </c>
      <c r="X23" s="116">
        <f t="shared" si="8"/>
        <v>0</v>
      </c>
      <c r="Y23" s="128">
        <f t="shared" si="9"/>
        <v>0</v>
      </c>
      <c r="Z23" s="142" t="str">
        <f>IF(Y23&gt;0,VLOOKUP(Калькуляция!$C$4,'ЗП по стандарту АКФО'!$D$3:$E$134,2,FALSE),"")</f>
        <v/>
      </c>
      <c r="AA23" s="145" t="str">
        <f t="shared" si="15"/>
        <v/>
      </c>
      <c r="AD23" s="170">
        <f t="shared" si="10"/>
        <v>0</v>
      </c>
    </row>
    <row r="24" spans="2:30" x14ac:dyDescent="0.2">
      <c r="B24" s="101"/>
      <c r="C24" s="114"/>
      <c r="D24" s="147"/>
      <c r="E24" s="100"/>
      <c r="F24" s="100"/>
      <c r="G24" s="102"/>
      <c r="H24" s="102"/>
      <c r="I24" s="102"/>
      <c r="J24" s="121">
        <f t="shared" si="11"/>
        <v>0</v>
      </c>
      <c r="K24" s="126"/>
      <c r="L24" s="116">
        <f t="shared" si="1"/>
        <v>0</v>
      </c>
      <c r="M24" s="116">
        <f t="shared" si="2"/>
        <v>0</v>
      </c>
      <c r="N24" s="116">
        <f t="shared" si="16"/>
        <v>0</v>
      </c>
      <c r="O24" s="116">
        <f t="shared" si="3"/>
        <v>0</v>
      </c>
      <c r="P24" s="121">
        <f t="shared" si="4"/>
        <v>0</v>
      </c>
      <c r="Q24" s="127">
        <f t="shared" si="12"/>
        <v>0</v>
      </c>
      <c r="R24" s="125">
        <f t="shared" si="5"/>
        <v>0</v>
      </c>
      <c r="S24" s="125"/>
      <c r="T24" s="116">
        <f t="shared" si="13"/>
        <v>0</v>
      </c>
      <c r="U24" s="116">
        <f t="shared" si="6"/>
        <v>0</v>
      </c>
      <c r="V24" s="116">
        <f t="shared" si="14"/>
        <v>0</v>
      </c>
      <c r="W24" s="120">
        <f t="shared" si="7"/>
        <v>0</v>
      </c>
      <c r="X24" s="116">
        <f t="shared" si="8"/>
        <v>0</v>
      </c>
      <c r="Y24" s="128">
        <f t="shared" si="9"/>
        <v>0</v>
      </c>
      <c r="Z24" s="142" t="str">
        <f>IF(Y24&gt;0,VLOOKUP(Калькуляция!$C$4,'ЗП по стандарту АКФО'!$D$3:$E$134,2,FALSE),"")</f>
        <v/>
      </c>
      <c r="AA24" s="145" t="str">
        <f t="shared" si="15"/>
        <v/>
      </c>
      <c r="AD24" s="170">
        <f t="shared" si="10"/>
        <v>0</v>
      </c>
    </row>
    <row r="25" spans="2:30" x14ac:dyDescent="0.2">
      <c r="B25" s="101"/>
      <c r="C25" s="114"/>
      <c r="D25" s="147"/>
      <c r="E25" s="100"/>
      <c r="F25" s="100"/>
      <c r="G25" s="102"/>
      <c r="H25" s="102"/>
      <c r="I25" s="102"/>
      <c r="J25" s="121">
        <f t="shared" si="11"/>
        <v>0</v>
      </c>
      <c r="K25" s="126"/>
      <c r="L25" s="116">
        <f t="shared" si="1"/>
        <v>0</v>
      </c>
      <c r="M25" s="116">
        <f t="shared" si="2"/>
        <v>0</v>
      </c>
      <c r="N25" s="116">
        <f t="shared" si="16"/>
        <v>0</v>
      </c>
      <c r="O25" s="116">
        <f t="shared" si="3"/>
        <v>0</v>
      </c>
      <c r="P25" s="121">
        <f t="shared" si="4"/>
        <v>0</v>
      </c>
      <c r="Q25" s="127">
        <f t="shared" si="12"/>
        <v>0</v>
      </c>
      <c r="R25" s="125">
        <f t="shared" si="5"/>
        <v>0</v>
      </c>
      <c r="S25" s="125"/>
      <c r="T25" s="116">
        <f t="shared" si="13"/>
        <v>0</v>
      </c>
      <c r="U25" s="116">
        <f t="shared" si="6"/>
        <v>0</v>
      </c>
      <c r="V25" s="116">
        <f t="shared" si="14"/>
        <v>0</v>
      </c>
      <c r="W25" s="120">
        <f t="shared" si="7"/>
        <v>0</v>
      </c>
      <c r="X25" s="116">
        <f t="shared" si="8"/>
        <v>0</v>
      </c>
      <c r="Y25" s="128">
        <f t="shared" si="9"/>
        <v>0</v>
      </c>
      <c r="Z25" s="142" t="str">
        <f>IF(Y25&gt;0,VLOOKUP(Калькуляция!$C$4,'ЗП по стандарту АКФО'!$D$3:$E$134,2,FALSE),"")</f>
        <v/>
      </c>
      <c r="AA25" s="145" t="str">
        <f t="shared" si="15"/>
        <v/>
      </c>
      <c r="AD25" s="170">
        <f t="shared" si="10"/>
        <v>0</v>
      </c>
    </row>
    <row r="26" spans="2:30" x14ac:dyDescent="0.2">
      <c r="B26" s="101"/>
      <c r="C26" s="114"/>
      <c r="D26" s="147"/>
      <c r="E26" s="100"/>
      <c r="F26" s="100"/>
      <c r="G26" s="102"/>
      <c r="H26" s="102"/>
      <c r="I26" s="102"/>
      <c r="J26" s="121">
        <f t="shared" ref="J26:J40" si="17">I26*H26*G26*C26</f>
        <v>0</v>
      </c>
      <c r="K26" s="126"/>
      <c r="L26" s="116">
        <f t="shared" ref="L26:L40" si="18">IF(H26&gt;0,K26/H26,)</f>
        <v>0</v>
      </c>
      <c r="M26" s="116">
        <f t="shared" ref="M26:M40" si="19">IF(G26&gt;0,L26/G26,)</f>
        <v>0</v>
      </c>
      <c r="N26" s="116">
        <f t="shared" ref="N26:N40" si="20">C26*K26</f>
        <v>0</v>
      </c>
      <c r="O26" s="116">
        <f t="shared" ref="O26:O40" si="21">N26*I26</f>
        <v>0</v>
      </c>
      <c r="P26" s="121">
        <f t="shared" ref="P26:P40" si="22">O26/0.87</f>
        <v>0</v>
      </c>
      <c r="Q26" s="127">
        <f t="shared" ref="Q26:Q40" si="23">IF(L26&gt;0,L26/0.87*14/30*H26/12*I26*C26,)</f>
        <v>0</v>
      </c>
      <c r="R26" s="125">
        <f t="shared" ref="R26:R40" si="24">IF(J26&gt;0,(P26+Q26)/J26/29.3*28*100%/12*J26,0)</f>
        <v>0</v>
      </c>
      <c r="S26" s="125"/>
      <c r="T26" s="116">
        <f t="shared" ref="T26:T40" si="25">SUM(P26:S26)*2/730*3</f>
        <v>0</v>
      </c>
      <c r="U26" s="116">
        <f t="shared" ref="U26:U40" si="26">SUM(P26:T26)*13%</f>
        <v>0</v>
      </c>
      <c r="V26" s="116">
        <f t="shared" si="14"/>
        <v>0</v>
      </c>
      <c r="W26" s="120">
        <f t="shared" si="7"/>
        <v>0</v>
      </c>
      <c r="X26" s="116">
        <f t="shared" si="8"/>
        <v>0</v>
      </c>
      <c r="Y26" s="128">
        <f t="shared" si="9"/>
        <v>0</v>
      </c>
      <c r="Z26" s="142" t="str">
        <f>IF(Y26&gt;0,VLOOKUP(Калькуляция!$C$4,'ЗП по стандарту АКФО'!$D$3:$E$134,2,FALSE),"")</f>
        <v/>
      </c>
      <c r="AA26" s="145" t="str">
        <f t="shared" si="15"/>
        <v/>
      </c>
      <c r="AD26" s="170">
        <f t="shared" si="10"/>
        <v>0</v>
      </c>
    </row>
    <row r="27" spans="2:30" x14ac:dyDescent="0.2">
      <c r="B27" s="101"/>
      <c r="C27" s="114"/>
      <c r="D27" s="147"/>
      <c r="E27" s="100"/>
      <c r="F27" s="100"/>
      <c r="G27" s="102"/>
      <c r="H27" s="102"/>
      <c r="I27" s="102"/>
      <c r="J27" s="121">
        <f t="shared" si="17"/>
        <v>0</v>
      </c>
      <c r="K27" s="126"/>
      <c r="L27" s="116">
        <f t="shared" si="18"/>
        <v>0</v>
      </c>
      <c r="M27" s="116">
        <f t="shared" si="19"/>
        <v>0</v>
      </c>
      <c r="N27" s="116">
        <f t="shared" si="20"/>
        <v>0</v>
      </c>
      <c r="O27" s="116">
        <f t="shared" si="21"/>
        <v>0</v>
      </c>
      <c r="P27" s="121">
        <f t="shared" si="22"/>
        <v>0</v>
      </c>
      <c r="Q27" s="127">
        <f t="shared" si="23"/>
        <v>0</v>
      </c>
      <c r="R27" s="125">
        <f t="shared" si="24"/>
        <v>0</v>
      </c>
      <c r="S27" s="125"/>
      <c r="T27" s="116">
        <f t="shared" si="25"/>
        <v>0</v>
      </c>
      <c r="U27" s="116">
        <f t="shared" si="26"/>
        <v>0</v>
      </c>
      <c r="V27" s="116">
        <f t="shared" si="14"/>
        <v>0</v>
      </c>
      <c r="W27" s="120">
        <f t="shared" si="7"/>
        <v>0</v>
      </c>
      <c r="X27" s="116">
        <f t="shared" si="8"/>
        <v>0</v>
      </c>
      <c r="Y27" s="128">
        <f t="shared" si="9"/>
        <v>0</v>
      </c>
      <c r="Z27" s="142" t="str">
        <f>IF(Y27&gt;0,VLOOKUP(Калькуляция!$C$4,'ЗП по стандарту АКФО'!$D$3:$E$134,2,FALSE),"")</f>
        <v/>
      </c>
      <c r="AA27" s="145" t="str">
        <f t="shared" si="15"/>
        <v/>
      </c>
      <c r="AD27" s="170">
        <f t="shared" si="10"/>
        <v>0</v>
      </c>
    </row>
    <row r="28" spans="2:30" x14ac:dyDescent="0.2">
      <c r="B28" s="101"/>
      <c r="C28" s="114"/>
      <c r="D28" s="147"/>
      <c r="E28" s="100"/>
      <c r="F28" s="100"/>
      <c r="G28" s="102"/>
      <c r="H28" s="102"/>
      <c r="I28" s="102"/>
      <c r="J28" s="121">
        <f t="shared" si="17"/>
        <v>0</v>
      </c>
      <c r="K28" s="126"/>
      <c r="L28" s="116">
        <f t="shared" si="18"/>
        <v>0</v>
      </c>
      <c r="M28" s="116">
        <f t="shared" si="19"/>
        <v>0</v>
      </c>
      <c r="N28" s="116">
        <f t="shared" si="20"/>
        <v>0</v>
      </c>
      <c r="O28" s="116">
        <f t="shared" si="21"/>
        <v>0</v>
      </c>
      <c r="P28" s="121">
        <f t="shared" si="22"/>
        <v>0</v>
      </c>
      <c r="Q28" s="127">
        <f t="shared" si="23"/>
        <v>0</v>
      </c>
      <c r="R28" s="125">
        <f t="shared" si="24"/>
        <v>0</v>
      </c>
      <c r="S28" s="125"/>
      <c r="T28" s="116">
        <f t="shared" si="25"/>
        <v>0</v>
      </c>
      <c r="U28" s="116">
        <f t="shared" si="26"/>
        <v>0</v>
      </c>
      <c r="V28" s="116">
        <f t="shared" si="14"/>
        <v>0</v>
      </c>
      <c r="W28" s="120">
        <f t="shared" si="7"/>
        <v>0</v>
      </c>
      <c r="X28" s="116">
        <f t="shared" si="8"/>
        <v>0</v>
      </c>
      <c r="Y28" s="128">
        <f t="shared" si="9"/>
        <v>0</v>
      </c>
      <c r="Z28" s="142" t="str">
        <f>IF(Y28&gt;0,VLOOKUP(Калькуляция!$C$4,'ЗП по стандарту АКФО'!$D$3:$E$134,2,FALSE),"")</f>
        <v/>
      </c>
      <c r="AA28" s="145" t="str">
        <f t="shared" si="15"/>
        <v/>
      </c>
      <c r="AD28" s="170">
        <f t="shared" si="10"/>
        <v>0</v>
      </c>
    </row>
    <row r="29" spans="2:30" x14ac:dyDescent="0.2">
      <c r="B29" s="101"/>
      <c r="C29" s="114"/>
      <c r="D29" s="147"/>
      <c r="E29" s="100"/>
      <c r="F29" s="100"/>
      <c r="G29" s="102"/>
      <c r="H29" s="102"/>
      <c r="I29" s="102"/>
      <c r="J29" s="121">
        <f t="shared" si="17"/>
        <v>0</v>
      </c>
      <c r="K29" s="126"/>
      <c r="L29" s="116">
        <f t="shared" si="18"/>
        <v>0</v>
      </c>
      <c r="M29" s="116">
        <f t="shared" si="19"/>
        <v>0</v>
      </c>
      <c r="N29" s="116">
        <f t="shared" si="20"/>
        <v>0</v>
      </c>
      <c r="O29" s="116">
        <f t="shared" si="21"/>
        <v>0</v>
      </c>
      <c r="P29" s="121">
        <f t="shared" si="22"/>
        <v>0</v>
      </c>
      <c r="Q29" s="127">
        <f t="shared" si="23"/>
        <v>0</v>
      </c>
      <c r="R29" s="125">
        <f t="shared" si="24"/>
        <v>0</v>
      </c>
      <c r="S29" s="125"/>
      <c r="T29" s="116">
        <f t="shared" si="25"/>
        <v>0</v>
      </c>
      <c r="U29" s="116">
        <f t="shared" si="26"/>
        <v>0</v>
      </c>
      <c r="V29" s="116">
        <f t="shared" si="14"/>
        <v>0</v>
      </c>
      <c r="W29" s="120">
        <f t="shared" si="7"/>
        <v>0</v>
      </c>
      <c r="X29" s="116">
        <f t="shared" si="8"/>
        <v>0</v>
      </c>
      <c r="Y29" s="128">
        <f t="shared" si="9"/>
        <v>0</v>
      </c>
      <c r="Z29" s="142" t="str">
        <f>IF(Y29&gt;0,VLOOKUP(Калькуляция!$C$4,'ЗП по стандарту АКФО'!$D$3:$E$134,2,FALSE),"")</f>
        <v/>
      </c>
      <c r="AA29" s="145" t="str">
        <f t="shared" si="15"/>
        <v/>
      </c>
      <c r="AD29" s="170">
        <f t="shared" si="10"/>
        <v>0</v>
      </c>
    </row>
    <row r="30" spans="2:30" x14ac:dyDescent="0.2">
      <c r="B30" s="101"/>
      <c r="C30" s="114"/>
      <c r="D30" s="147"/>
      <c r="E30" s="100"/>
      <c r="F30" s="100"/>
      <c r="G30" s="102"/>
      <c r="H30" s="102"/>
      <c r="I30" s="102"/>
      <c r="J30" s="121">
        <f t="shared" si="17"/>
        <v>0</v>
      </c>
      <c r="K30" s="126"/>
      <c r="L30" s="116">
        <f t="shared" si="18"/>
        <v>0</v>
      </c>
      <c r="M30" s="116">
        <f t="shared" si="19"/>
        <v>0</v>
      </c>
      <c r="N30" s="116">
        <f t="shared" si="20"/>
        <v>0</v>
      </c>
      <c r="O30" s="116">
        <f t="shared" si="21"/>
        <v>0</v>
      </c>
      <c r="P30" s="121">
        <f t="shared" si="22"/>
        <v>0</v>
      </c>
      <c r="Q30" s="127">
        <f t="shared" si="23"/>
        <v>0</v>
      </c>
      <c r="R30" s="125">
        <f t="shared" si="24"/>
        <v>0</v>
      </c>
      <c r="S30" s="125"/>
      <c r="T30" s="116">
        <f t="shared" si="25"/>
        <v>0</v>
      </c>
      <c r="U30" s="116">
        <f t="shared" si="26"/>
        <v>0</v>
      </c>
      <c r="V30" s="116">
        <f t="shared" si="14"/>
        <v>0</v>
      </c>
      <c r="W30" s="120">
        <f t="shared" si="7"/>
        <v>0</v>
      </c>
      <c r="X30" s="116">
        <f t="shared" si="8"/>
        <v>0</v>
      </c>
      <c r="Y30" s="128">
        <f t="shared" si="9"/>
        <v>0</v>
      </c>
      <c r="Z30" s="142" t="str">
        <f>IF(Y30&gt;0,VLOOKUP(Калькуляция!$C$4,'ЗП по стандарту АКФО'!$D$3:$E$134,2,FALSE),"")</f>
        <v/>
      </c>
      <c r="AA30" s="145" t="str">
        <f t="shared" si="15"/>
        <v/>
      </c>
      <c r="AD30" s="170">
        <f t="shared" si="10"/>
        <v>0</v>
      </c>
    </row>
    <row r="31" spans="2:30" x14ac:dyDescent="0.2">
      <c r="B31" s="101"/>
      <c r="C31" s="114"/>
      <c r="D31" s="147"/>
      <c r="E31" s="100"/>
      <c r="F31" s="100"/>
      <c r="G31" s="102"/>
      <c r="H31" s="102"/>
      <c r="I31" s="102"/>
      <c r="J31" s="121">
        <f t="shared" si="17"/>
        <v>0</v>
      </c>
      <c r="K31" s="126"/>
      <c r="L31" s="116">
        <f t="shared" si="18"/>
        <v>0</v>
      </c>
      <c r="M31" s="116">
        <f t="shared" si="19"/>
        <v>0</v>
      </c>
      <c r="N31" s="116">
        <f t="shared" si="20"/>
        <v>0</v>
      </c>
      <c r="O31" s="116">
        <f t="shared" si="21"/>
        <v>0</v>
      </c>
      <c r="P31" s="121">
        <f t="shared" si="22"/>
        <v>0</v>
      </c>
      <c r="Q31" s="127">
        <f t="shared" si="23"/>
        <v>0</v>
      </c>
      <c r="R31" s="125">
        <f t="shared" si="24"/>
        <v>0</v>
      </c>
      <c r="S31" s="125"/>
      <c r="T31" s="116">
        <f t="shared" si="25"/>
        <v>0</v>
      </c>
      <c r="U31" s="116">
        <f t="shared" si="26"/>
        <v>0</v>
      </c>
      <c r="V31" s="116">
        <f t="shared" si="14"/>
        <v>0</v>
      </c>
      <c r="W31" s="120">
        <f t="shared" si="7"/>
        <v>0</v>
      </c>
      <c r="X31" s="116">
        <f t="shared" si="8"/>
        <v>0</v>
      </c>
      <c r="Y31" s="128">
        <f t="shared" si="9"/>
        <v>0</v>
      </c>
      <c r="Z31" s="142" t="str">
        <f>IF(Y31&gt;0,VLOOKUP(Калькуляция!$C$4,'ЗП по стандарту АКФО'!$D$3:$E$134,2,FALSE),"")</f>
        <v/>
      </c>
      <c r="AA31" s="145" t="str">
        <f t="shared" si="15"/>
        <v/>
      </c>
      <c r="AD31" s="170">
        <f t="shared" si="10"/>
        <v>0</v>
      </c>
    </row>
    <row r="32" spans="2:30" x14ac:dyDescent="0.2">
      <c r="B32" s="101"/>
      <c r="C32" s="114"/>
      <c r="D32" s="147"/>
      <c r="E32" s="100"/>
      <c r="F32" s="100"/>
      <c r="G32" s="102"/>
      <c r="H32" s="102"/>
      <c r="I32" s="102"/>
      <c r="J32" s="121">
        <f t="shared" si="17"/>
        <v>0</v>
      </c>
      <c r="K32" s="126"/>
      <c r="L32" s="116">
        <f t="shared" si="18"/>
        <v>0</v>
      </c>
      <c r="M32" s="116">
        <f t="shared" si="19"/>
        <v>0</v>
      </c>
      <c r="N32" s="116">
        <f t="shared" si="20"/>
        <v>0</v>
      </c>
      <c r="O32" s="116">
        <f t="shared" si="21"/>
        <v>0</v>
      </c>
      <c r="P32" s="121">
        <f t="shared" si="22"/>
        <v>0</v>
      </c>
      <c r="Q32" s="127">
        <f t="shared" si="23"/>
        <v>0</v>
      </c>
      <c r="R32" s="125">
        <f t="shared" si="24"/>
        <v>0</v>
      </c>
      <c r="S32" s="125"/>
      <c r="T32" s="116">
        <f t="shared" si="25"/>
        <v>0</v>
      </c>
      <c r="U32" s="116">
        <f t="shared" si="26"/>
        <v>0</v>
      </c>
      <c r="V32" s="116">
        <f t="shared" si="14"/>
        <v>0</v>
      </c>
      <c r="W32" s="120">
        <f t="shared" si="7"/>
        <v>0</v>
      </c>
      <c r="X32" s="116">
        <f t="shared" si="8"/>
        <v>0</v>
      </c>
      <c r="Y32" s="128">
        <f t="shared" si="9"/>
        <v>0</v>
      </c>
      <c r="Z32" s="142" t="str">
        <f>IF(Y32&gt;0,VLOOKUP(Калькуляция!$C$4,'ЗП по стандарту АКФО'!$D$3:$E$134,2,FALSE),"")</f>
        <v/>
      </c>
      <c r="AA32" s="145" t="str">
        <f t="shared" si="15"/>
        <v/>
      </c>
      <c r="AD32" s="170">
        <f t="shared" si="10"/>
        <v>0</v>
      </c>
    </row>
    <row r="33" spans="2:30" x14ac:dyDescent="0.2">
      <c r="B33" s="101"/>
      <c r="C33" s="114"/>
      <c r="D33" s="147"/>
      <c r="E33" s="100"/>
      <c r="F33" s="100"/>
      <c r="G33" s="102"/>
      <c r="H33" s="102"/>
      <c r="I33" s="102"/>
      <c r="J33" s="121">
        <f t="shared" si="17"/>
        <v>0</v>
      </c>
      <c r="K33" s="126"/>
      <c r="L33" s="116">
        <f t="shared" si="18"/>
        <v>0</v>
      </c>
      <c r="M33" s="116">
        <f t="shared" si="19"/>
        <v>0</v>
      </c>
      <c r="N33" s="116">
        <f t="shared" si="20"/>
        <v>0</v>
      </c>
      <c r="O33" s="116">
        <f t="shared" si="21"/>
        <v>0</v>
      </c>
      <c r="P33" s="121">
        <f t="shared" si="22"/>
        <v>0</v>
      </c>
      <c r="Q33" s="127">
        <f t="shared" si="23"/>
        <v>0</v>
      </c>
      <c r="R33" s="125">
        <f t="shared" si="24"/>
        <v>0</v>
      </c>
      <c r="S33" s="125"/>
      <c r="T33" s="116">
        <f t="shared" si="25"/>
        <v>0</v>
      </c>
      <c r="U33" s="116">
        <f t="shared" si="26"/>
        <v>0</v>
      </c>
      <c r="V33" s="116">
        <f t="shared" si="14"/>
        <v>0</v>
      </c>
      <c r="W33" s="120">
        <f t="shared" si="7"/>
        <v>0</v>
      </c>
      <c r="X33" s="116">
        <f t="shared" si="8"/>
        <v>0</v>
      </c>
      <c r="Y33" s="128">
        <f t="shared" si="9"/>
        <v>0</v>
      </c>
      <c r="Z33" s="142" t="str">
        <f>IF(Y33&gt;0,VLOOKUP(Калькуляция!$C$4,'ЗП по стандарту АКФО'!$D$3:$E$134,2,FALSE),"")</f>
        <v/>
      </c>
      <c r="AA33" s="145" t="str">
        <f t="shared" si="15"/>
        <v/>
      </c>
      <c r="AD33" s="170">
        <f t="shared" si="10"/>
        <v>0</v>
      </c>
    </row>
    <row r="34" spans="2:30" x14ac:dyDescent="0.2">
      <c r="B34" s="101"/>
      <c r="C34" s="114"/>
      <c r="D34" s="147"/>
      <c r="E34" s="100"/>
      <c r="F34" s="100"/>
      <c r="G34" s="102"/>
      <c r="H34" s="102"/>
      <c r="I34" s="102"/>
      <c r="J34" s="121">
        <f t="shared" si="17"/>
        <v>0</v>
      </c>
      <c r="K34" s="126"/>
      <c r="L34" s="116">
        <f t="shared" si="18"/>
        <v>0</v>
      </c>
      <c r="M34" s="116">
        <f t="shared" si="19"/>
        <v>0</v>
      </c>
      <c r="N34" s="116">
        <f t="shared" si="20"/>
        <v>0</v>
      </c>
      <c r="O34" s="116">
        <f t="shared" si="21"/>
        <v>0</v>
      </c>
      <c r="P34" s="121">
        <f t="shared" si="22"/>
        <v>0</v>
      </c>
      <c r="Q34" s="127">
        <f t="shared" si="23"/>
        <v>0</v>
      </c>
      <c r="R34" s="125">
        <f t="shared" si="24"/>
        <v>0</v>
      </c>
      <c r="S34" s="125"/>
      <c r="T34" s="116">
        <f t="shared" si="25"/>
        <v>0</v>
      </c>
      <c r="U34" s="116">
        <f t="shared" si="26"/>
        <v>0</v>
      </c>
      <c r="V34" s="116">
        <f t="shared" si="14"/>
        <v>0</v>
      </c>
      <c r="W34" s="120">
        <f t="shared" si="7"/>
        <v>0</v>
      </c>
      <c r="X34" s="116">
        <f t="shared" si="8"/>
        <v>0</v>
      </c>
      <c r="Y34" s="128">
        <f t="shared" si="9"/>
        <v>0</v>
      </c>
      <c r="Z34" s="142" t="str">
        <f>IF(Y34&gt;0,VLOOKUP(Калькуляция!$C$4,'ЗП по стандарту АКФО'!$D$3:$E$134,2,FALSE),"")</f>
        <v/>
      </c>
      <c r="AA34" s="145" t="str">
        <f t="shared" si="15"/>
        <v/>
      </c>
      <c r="AD34" s="170">
        <f t="shared" si="10"/>
        <v>0</v>
      </c>
    </row>
    <row r="35" spans="2:30" x14ac:dyDescent="0.2">
      <c r="B35" s="101"/>
      <c r="C35" s="114"/>
      <c r="D35" s="147"/>
      <c r="E35" s="100"/>
      <c r="F35" s="100"/>
      <c r="G35" s="102"/>
      <c r="H35" s="102"/>
      <c r="I35" s="102"/>
      <c r="J35" s="121">
        <f t="shared" si="17"/>
        <v>0</v>
      </c>
      <c r="K35" s="126"/>
      <c r="L35" s="116">
        <f t="shared" si="18"/>
        <v>0</v>
      </c>
      <c r="M35" s="116">
        <f t="shared" si="19"/>
        <v>0</v>
      </c>
      <c r="N35" s="116">
        <f t="shared" si="20"/>
        <v>0</v>
      </c>
      <c r="O35" s="116">
        <f t="shared" si="21"/>
        <v>0</v>
      </c>
      <c r="P35" s="121">
        <f t="shared" si="22"/>
        <v>0</v>
      </c>
      <c r="Q35" s="127">
        <f t="shared" si="23"/>
        <v>0</v>
      </c>
      <c r="R35" s="125">
        <f t="shared" si="24"/>
        <v>0</v>
      </c>
      <c r="S35" s="125"/>
      <c r="T35" s="116">
        <f t="shared" si="25"/>
        <v>0</v>
      </c>
      <c r="U35" s="116">
        <f t="shared" si="26"/>
        <v>0</v>
      </c>
      <c r="V35" s="116">
        <f t="shared" si="14"/>
        <v>0</v>
      </c>
      <c r="W35" s="120">
        <f t="shared" si="7"/>
        <v>0</v>
      </c>
      <c r="X35" s="116">
        <f t="shared" si="8"/>
        <v>0</v>
      </c>
      <c r="Y35" s="128">
        <f t="shared" si="9"/>
        <v>0</v>
      </c>
      <c r="Z35" s="142" t="str">
        <f>IF(Y35&gt;0,VLOOKUP(Калькуляция!$C$4,'ЗП по стандарту АКФО'!$D$3:$E$134,2,FALSE),"")</f>
        <v/>
      </c>
      <c r="AA35" s="145" t="str">
        <f t="shared" si="15"/>
        <v/>
      </c>
      <c r="AD35" s="170">
        <f t="shared" si="10"/>
        <v>0</v>
      </c>
    </row>
    <row r="36" spans="2:30" x14ac:dyDescent="0.2">
      <c r="B36" s="101"/>
      <c r="C36" s="114"/>
      <c r="D36" s="147"/>
      <c r="E36" s="100"/>
      <c r="F36" s="100"/>
      <c r="G36" s="102"/>
      <c r="H36" s="102"/>
      <c r="I36" s="102"/>
      <c r="J36" s="121">
        <f t="shared" si="17"/>
        <v>0</v>
      </c>
      <c r="K36" s="126"/>
      <c r="L36" s="116">
        <f t="shared" si="18"/>
        <v>0</v>
      </c>
      <c r="M36" s="116">
        <f t="shared" si="19"/>
        <v>0</v>
      </c>
      <c r="N36" s="116">
        <f t="shared" si="20"/>
        <v>0</v>
      </c>
      <c r="O36" s="116">
        <f t="shared" si="21"/>
        <v>0</v>
      </c>
      <c r="P36" s="121">
        <f t="shared" si="22"/>
        <v>0</v>
      </c>
      <c r="Q36" s="127">
        <f t="shared" si="23"/>
        <v>0</v>
      </c>
      <c r="R36" s="125">
        <f t="shared" si="24"/>
        <v>0</v>
      </c>
      <c r="S36" s="125"/>
      <c r="T36" s="116">
        <f t="shared" si="25"/>
        <v>0</v>
      </c>
      <c r="U36" s="116">
        <f t="shared" si="26"/>
        <v>0</v>
      </c>
      <c r="V36" s="116">
        <f t="shared" si="14"/>
        <v>0</v>
      </c>
      <c r="W36" s="120">
        <f t="shared" si="7"/>
        <v>0</v>
      </c>
      <c r="X36" s="116">
        <f t="shared" si="8"/>
        <v>0</v>
      </c>
      <c r="Y36" s="128">
        <f t="shared" si="9"/>
        <v>0</v>
      </c>
      <c r="Z36" s="142" t="str">
        <f>IF(Y36&gt;0,VLOOKUP(Калькуляция!$C$4,'ЗП по стандарту АКФО'!$D$3:$E$134,2,FALSE),"")</f>
        <v/>
      </c>
      <c r="AA36" s="145" t="str">
        <f t="shared" si="15"/>
        <v/>
      </c>
      <c r="AD36" s="170">
        <f t="shared" si="10"/>
        <v>0</v>
      </c>
    </row>
    <row r="37" spans="2:30" x14ac:dyDescent="0.2">
      <c r="B37" s="101"/>
      <c r="C37" s="114"/>
      <c r="D37" s="147"/>
      <c r="E37" s="100"/>
      <c r="F37" s="100"/>
      <c r="G37" s="102"/>
      <c r="H37" s="102"/>
      <c r="I37" s="102"/>
      <c r="J37" s="121">
        <f t="shared" si="17"/>
        <v>0</v>
      </c>
      <c r="K37" s="126"/>
      <c r="L37" s="116">
        <f t="shared" si="18"/>
        <v>0</v>
      </c>
      <c r="M37" s="116">
        <f t="shared" si="19"/>
        <v>0</v>
      </c>
      <c r="N37" s="116">
        <f t="shared" si="20"/>
        <v>0</v>
      </c>
      <c r="O37" s="116">
        <f t="shared" si="21"/>
        <v>0</v>
      </c>
      <c r="P37" s="121">
        <f t="shared" si="22"/>
        <v>0</v>
      </c>
      <c r="Q37" s="127">
        <f t="shared" si="23"/>
        <v>0</v>
      </c>
      <c r="R37" s="125">
        <f t="shared" si="24"/>
        <v>0</v>
      </c>
      <c r="S37" s="125"/>
      <c r="T37" s="116">
        <f t="shared" si="25"/>
        <v>0</v>
      </c>
      <c r="U37" s="116">
        <f t="shared" si="26"/>
        <v>0</v>
      </c>
      <c r="V37" s="116">
        <f t="shared" si="14"/>
        <v>0</v>
      </c>
      <c r="W37" s="120">
        <f t="shared" si="7"/>
        <v>0</v>
      </c>
      <c r="X37" s="116">
        <f t="shared" si="8"/>
        <v>0</v>
      </c>
      <c r="Y37" s="128">
        <f t="shared" si="9"/>
        <v>0</v>
      </c>
      <c r="Z37" s="142" t="str">
        <f>IF(Y37&gt;0,VLOOKUP(Калькуляция!$C$4,'ЗП по стандарту АКФО'!$D$3:$E$134,2,FALSE),"")</f>
        <v/>
      </c>
      <c r="AA37" s="145" t="str">
        <f t="shared" si="15"/>
        <v/>
      </c>
      <c r="AD37" s="170">
        <f t="shared" si="10"/>
        <v>0</v>
      </c>
    </row>
    <row r="38" spans="2:30" x14ac:dyDescent="0.2">
      <c r="B38" s="101"/>
      <c r="C38" s="114"/>
      <c r="D38" s="147"/>
      <c r="E38" s="100"/>
      <c r="F38" s="100"/>
      <c r="G38" s="102"/>
      <c r="H38" s="102"/>
      <c r="I38" s="102"/>
      <c r="J38" s="121">
        <f t="shared" si="17"/>
        <v>0</v>
      </c>
      <c r="K38" s="126"/>
      <c r="L38" s="116">
        <f t="shared" si="18"/>
        <v>0</v>
      </c>
      <c r="M38" s="116">
        <f t="shared" si="19"/>
        <v>0</v>
      </c>
      <c r="N38" s="116">
        <f t="shared" si="20"/>
        <v>0</v>
      </c>
      <c r="O38" s="116">
        <f t="shared" si="21"/>
        <v>0</v>
      </c>
      <c r="P38" s="121">
        <f t="shared" si="22"/>
        <v>0</v>
      </c>
      <c r="Q38" s="127">
        <f t="shared" si="23"/>
        <v>0</v>
      </c>
      <c r="R38" s="125">
        <f t="shared" si="24"/>
        <v>0</v>
      </c>
      <c r="S38" s="125"/>
      <c r="T38" s="116">
        <f t="shared" si="25"/>
        <v>0</v>
      </c>
      <c r="U38" s="116">
        <f t="shared" si="26"/>
        <v>0</v>
      </c>
      <c r="V38" s="116">
        <f t="shared" si="14"/>
        <v>0</v>
      </c>
      <c r="W38" s="120">
        <f t="shared" si="7"/>
        <v>0</v>
      </c>
      <c r="X38" s="116">
        <f t="shared" si="8"/>
        <v>0</v>
      </c>
      <c r="Y38" s="128">
        <f t="shared" si="9"/>
        <v>0</v>
      </c>
      <c r="Z38" s="142" t="str">
        <f>IF(Y38&gt;0,VLOOKUP(Калькуляция!$C$4,'ЗП по стандарту АКФО'!$D$3:$E$134,2,FALSE),"")</f>
        <v/>
      </c>
      <c r="AA38" s="145" t="str">
        <f t="shared" si="15"/>
        <v/>
      </c>
      <c r="AD38" s="170">
        <f t="shared" si="10"/>
        <v>0</v>
      </c>
    </row>
    <row r="39" spans="2:30" x14ac:dyDescent="0.2">
      <c r="B39" s="101"/>
      <c r="C39" s="114"/>
      <c r="D39" s="147"/>
      <c r="E39" s="100"/>
      <c r="F39" s="100"/>
      <c r="G39" s="102"/>
      <c r="H39" s="102"/>
      <c r="I39" s="102"/>
      <c r="J39" s="121">
        <f t="shared" si="17"/>
        <v>0</v>
      </c>
      <c r="K39" s="126"/>
      <c r="L39" s="116">
        <f t="shared" si="18"/>
        <v>0</v>
      </c>
      <c r="M39" s="116">
        <f t="shared" si="19"/>
        <v>0</v>
      </c>
      <c r="N39" s="116">
        <f t="shared" si="20"/>
        <v>0</v>
      </c>
      <c r="O39" s="116">
        <f t="shared" si="21"/>
        <v>0</v>
      </c>
      <c r="P39" s="121">
        <f t="shared" si="22"/>
        <v>0</v>
      </c>
      <c r="Q39" s="127">
        <f t="shared" si="23"/>
        <v>0</v>
      </c>
      <c r="R39" s="125">
        <f t="shared" si="24"/>
        <v>0</v>
      </c>
      <c r="S39" s="125"/>
      <c r="T39" s="116">
        <f t="shared" si="25"/>
        <v>0</v>
      </c>
      <c r="U39" s="116">
        <f t="shared" si="26"/>
        <v>0</v>
      </c>
      <c r="V39" s="116">
        <f t="shared" si="14"/>
        <v>0</v>
      </c>
      <c r="W39" s="120">
        <f t="shared" si="7"/>
        <v>0</v>
      </c>
      <c r="X39" s="116">
        <f t="shared" si="8"/>
        <v>0</v>
      </c>
      <c r="Y39" s="128">
        <f t="shared" si="9"/>
        <v>0</v>
      </c>
      <c r="Z39" s="142" t="str">
        <f>IF(Y39&gt;0,VLOOKUP(Калькуляция!$C$4,'ЗП по стандарту АКФО'!$D$3:$E$134,2,FALSE),"")</f>
        <v/>
      </c>
      <c r="AA39" s="145" t="str">
        <f t="shared" si="15"/>
        <v/>
      </c>
      <c r="AD39" s="170">
        <f t="shared" si="10"/>
        <v>0</v>
      </c>
    </row>
    <row r="40" spans="2:30" x14ac:dyDescent="0.2">
      <c r="B40" s="101"/>
      <c r="C40" s="114"/>
      <c r="D40" s="147"/>
      <c r="E40" s="100"/>
      <c r="F40" s="100"/>
      <c r="G40" s="102"/>
      <c r="H40" s="102"/>
      <c r="I40" s="102"/>
      <c r="J40" s="121">
        <f t="shared" si="17"/>
        <v>0</v>
      </c>
      <c r="K40" s="126"/>
      <c r="L40" s="116">
        <f t="shared" si="18"/>
        <v>0</v>
      </c>
      <c r="M40" s="116">
        <f t="shared" si="19"/>
        <v>0</v>
      </c>
      <c r="N40" s="116">
        <f t="shared" si="20"/>
        <v>0</v>
      </c>
      <c r="O40" s="116">
        <f t="shared" si="21"/>
        <v>0</v>
      </c>
      <c r="P40" s="121">
        <f t="shared" si="22"/>
        <v>0</v>
      </c>
      <c r="Q40" s="127">
        <f t="shared" si="23"/>
        <v>0</v>
      </c>
      <c r="R40" s="125">
        <f t="shared" si="24"/>
        <v>0</v>
      </c>
      <c r="S40" s="125"/>
      <c r="T40" s="116">
        <f t="shared" si="25"/>
        <v>0</v>
      </c>
      <c r="U40" s="116">
        <f t="shared" si="26"/>
        <v>0</v>
      </c>
      <c r="V40" s="116">
        <f t="shared" si="14"/>
        <v>0</v>
      </c>
      <c r="W40" s="120">
        <f t="shared" si="7"/>
        <v>0</v>
      </c>
      <c r="X40" s="116">
        <f t="shared" si="8"/>
        <v>0</v>
      </c>
      <c r="Y40" s="128">
        <f t="shared" si="9"/>
        <v>0</v>
      </c>
      <c r="Z40" s="142" t="str">
        <f>IF(Y40&gt;0,VLOOKUP(Калькуляция!$C$4,'ЗП по стандарту АКФО'!$D$3:$E$134,2,FALSE),"")</f>
        <v/>
      </c>
      <c r="AA40" s="145" t="str">
        <f t="shared" si="15"/>
        <v/>
      </c>
      <c r="AD40" s="170">
        <f t="shared" si="10"/>
        <v>0</v>
      </c>
    </row>
    <row r="41" spans="2:30" x14ac:dyDescent="0.2">
      <c r="B41" s="101"/>
      <c r="C41" s="114"/>
      <c r="D41" s="147"/>
      <c r="E41" s="100"/>
      <c r="F41" s="100"/>
      <c r="G41" s="102"/>
      <c r="H41" s="102"/>
      <c r="I41" s="102"/>
      <c r="J41" s="121">
        <f t="shared" si="11"/>
        <v>0</v>
      </c>
      <c r="K41" s="126"/>
      <c r="L41" s="116">
        <f t="shared" si="1"/>
        <v>0</v>
      </c>
      <c r="M41" s="116">
        <f t="shared" si="2"/>
        <v>0</v>
      </c>
      <c r="N41" s="116">
        <f t="shared" si="16"/>
        <v>0</v>
      </c>
      <c r="O41" s="116">
        <f t="shared" si="3"/>
        <v>0</v>
      </c>
      <c r="P41" s="121">
        <f t="shared" si="4"/>
        <v>0</v>
      </c>
      <c r="Q41" s="127">
        <f t="shared" si="12"/>
        <v>0</v>
      </c>
      <c r="R41" s="125">
        <f t="shared" si="5"/>
        <v>0</v>
      </c>
      <c r="S41" s="125"/>
      <c r="T41" s="116">
        <f t="shared" si="13"/>
        <v>0</v>
      </c>
      <c r="U41" s="116">
        <f t="shared" si="6"/>
        <v>0</v>
      </c>
      <c r="V41" s="116">
        <f t="shared" si="14"/>
        <v>0</v>
      </c>
      <c r="W41" s="120">
        <f t="shared" si="7"/>
        <v>0</v>
      </c>
      <c r="X41" s="116">
        <f t="shared" si="8"/>
        <v>0</v>
      </c>
      <c r="Y41" s="128">
        <f t="shared" si="9"/>
        <v>0</v>
      </c>
      <c r="Z41" s="142" t="str">
        <f>IF(Y41&gt;0,VLOOKUP(Калькуляция!$C$4,'ЗП по стандарту АКФО'!$D$3:$E$134,2,FALSE),"")</f>
        <v/>
      </c>
      <c r="AA41" s="145" t="str">
        <f t="shared" si="15"/>
        <v/>
      </c>
      <c r="AD41" s="170">
        <f t="shared" si="10"/>
        <v>0</v>
      </c>
    </row>
    <row r="42" spans="2:30" x14ac:dyDescent="0.2">
      <c r="B42" s="101"/>
      <c r="C42" s="114"/>
      <c r="D42" s="147"/>
      <c r="E42" s="100"/>
      <c r="F42" s="100"/>
      <c r="G42" s="102"/>
      <c r="H42" s="102"/>
      <c r="I42" s="102"/>
      <c r="J42" s="121">
        <f t="shared" si="11"/>
        <v>0</v>
      </c>
      <c r="K42" s="126"/>
      <c r="L42" s="116">
        <f t="shared" si="1"/>
        <v>0</v>
      </c>
      <c r="M42" s="116">
        <f t="shared" si="2"/>
        <v>0</v>
      </c>
      <c r="N42" s="116">
        <f>C42*K42</f>
        <v>0</v>
      </c>
      <c r="O42" s="116">
        <f t="shared" si="3"/>
        <v>0</v>
      </c>
      <c r="P42" s="121">
        <f t="shared" si="4"/>
        <v>0</v>
      </c>
      <c r="Q42" s="127">
        <f t="shared" si="12"/>
        <v>0</v>
      </c>
      <c r="R42" s="125">
        <f t="shared" si="5"/>
        <v>0</v>
      </c>
      <c r="S42" s="125"/>
      <c r="T42" s="116">
        <f t="shared" si="13"/>
        <v>0</v>
      </c>
      <c r="U42" s="116">
        <f t="shared" si="6"/>
        <v>0</v>
      </c>
      <c r="V42" s="116">
        <f t="shared" si="14"/>
        <v>0</v>
      </c>
      <c r="W42" s="120">
        <f t="shared" si="7"/>
        <v>0</v>
      </c>
      <c r="X42" s="116">
        <f t="shared" si="8"/>
        <v>0</v>
      </c>
      <c r="Y42" s="128">
        <f t="shared" si="9"/>
        <v>0</v>
      </c>
      <c r="Z42" s="142" t="str">
        <f>IF(Y42&gt;0,VLOOKUP(Калькуляция!$C$4,'ЗП по стандарту АКФО'!$D$3:$E$134,2,FALSE),"")</f>
        <v/>
      </c>
      <c r="AA42" s="145" t="str">
        <f t="shared" si="15"/>
        <v/>
      </c>
      <c r="AD42" s="170">
        <f t="shared" si="10"/>
        <v>0</v>
      </c>
    </row>
    <row r="43" spans="2:30" ht="17" thickBot="1" x14ac:dyDescent="0.25">
      <c r="B43" s="158"/>
      <c r="C43" s="130"/>
      <c r="D43" s="148"/>
      <c r="E43" s="103"/>
      <c r="F43" s="100"/>
      <c r="G43" s="131"/>
      <c r="H43" s="131"/>
      <c r="I43" s="131"/>
      <c r="J43" s="134">
        <f t="shared" si="11"/>
        <v>0</v>
      </c>
      <c r="K43" s="132"/>
      <c r="L43" s="133">
        <f t="shared" si="1"/>
        <v>0</v>
      </c>
      <c r="M43" s="133">
        <f t="shared" si="2"/>
        <v>0</v>
      </c>
      <c r="N43" s="133">
        <f>C43*K43</f>
        <v>0</v>
      </c>
      <c r="O43" s="133">
        <f t="shared" si="3"/>
        <v>0</v>
      </c>
      <c r="P43" s="134">
        <f t="shared" si="4"/>
        <v>0</v>
      </c>
      <c r="Q43" s="135">
        <f t="shared" si="12"/>
        <v>0</v>
      </c>
      <c r="R43" s="136">
        <f t="shared" si="5"/>
        <v>0</v>
      </c>
      <c r="S43" s="136"/>
      <c r="T43" s="133">
        <f t="shared" si="13"/>
        <v>0</v>
      </c>
      <c r="U43" s="133">
        <f t="shared" si="6"/>
        <v>0</v>
      </c>
      <c r="V43" s="133">
        <f t="shared" si="14"/>
        <v>0</v>
      </c>
      <c r="W43" s="137">
        <f t="shared" si="7"/>
        <v>0</v>
      </c>
      <c r="X43" s="133">
        <f t="shared" si="8"/>
        <v>0</v>
      </c>
      <c r="Y43" s="138">
        <f t="shared" si="9"/>
        <v>0</v>
      </c>
      <c r="Z43" s="142" t="str">
        <f>IF(Y43&gt;0,VLOOKUP(Калькуляция!$C$4,'ЗП по стандарту АКФО'!$D$3:$E$134,2,FALSE),"")</f>
        <v/>
      </c>
      <c r="AA43" s="145" t="str">
        <f t="shared" si="15"/>
        <v/>
      </c>
      <c r="AD43" s="170">
        <f t="shared" si="10"/>
        <v>0</v>
      </c>
    </row>
    <row r="45" spans="2:30" x14ac:dyDescent="0.2">
      <c r="B45" s="117" t="s">
        <v>232</v>
      </c>
      <c r="J45" s="170"/>
    </row>
    <row r="46" spans="2:30" x14ac:dyDescent="0.2">
      <c r="B46" s="157" t="s">
        <v>234</v>
      </c>
      <c r="D46" s="169"/>
      <c r="J46" s="170"/>
    </row>
    <row r="47" spans="2:30" x14ac:dyDescent="0.2">
      <c r="B47" s="157" t="s">
        <v>240</v>
      </c>
      <c r="D47" s="169"/>
      <c r="J47" s="170"/>
    </row>
    <row r="48" spans="2:30" x14ac:dyDescent="0.2">
      <c r="B48" s="157" t="s">
        <v>235</v>
      </c>
      <c r="D48" s="169"/>
      <c r="J48" s="170"/>
    </row>
    <row r="49" spans="2:11" x14ac:dyDescent="0.2">
      <c r="B49" s="157" t="s">
        <v>236</v>
      </c>
      <c r="D49" s="169"/>
    </row>
    <row r="50" spans="2:11" x14ac:dyDescent="0.2">
      <c r="B50" s="157" t="s">
        <v>241</v>
      </c>
      <c r="D50" s="169"/>
      <c r="J50" s="170"/>
      <c r="K50" s="170"/>
    </row>
    <row r="51" spans="2:11" x14ac:dyDescent="0.2">
      <c r="B51" s="157" t="s">
        <v>237</v>
      </c>
      <c r="D51" s="169"/>
    </row>
    <row r="52" spans="2:11" x14ac:dyDescent="0.2">
      <c r="B52" s="157" t="s">
        <v>243</v>
      </c>
      <c r="D52" s="169"/>
      <c r="J52" s="170"/>
    </row>
    <row r="53" spans="2:11" x14ac:dyDescent="0.2">
      <c r="B53" s="157" t="s">
        <v>244</v>
      </c>
      <c r="D53" s="169"/>
    </row>
    <row r="54" spans="2:11" x14ac:dyDescent="0.2">
      <c r="B54" s="157" t="s">
        <v>245</v>
      </c>
      <c r="D54" s="169"/>
      <c r="J54" s="170"/>
    </row>
    <row r="55" spans="2:11" x14ac:dyDescent="0.2">
      <c r="B55" s="157" t="s">
        <v>246</v>
      </c>
      <c r="D55" s="169"/>
    </row>
    <row r="56" spans="2:11" x14ac:dyDescent="0.2">
      <c r="B56" s="157" t="s">
        <v>247</v>
      </c>
      <c r="D56" s="169"/>
    </row>
    <row r="57" spans="2:11" x14ac:dyDescent="0.2">
      <c r="B57" s="157" t="s">
        <v>248</v>
      </c>
      <c r="D57" s="169"/>
    </row>
    <row r="58" spans="2:11" x14ac:dyDescent="0.2">
      <c r="B58" s="157" t="s">
        <v>249</v>
      </c>
      <c r="D58" s="169"/>
    </row>
    <row r="59" spans="2:11" x14ac:dyDescent="0.2">
      <c r="B59" s="157" t="s">
        <v>250</v>
      </c>
      <c r="D59" s="169"/>
    </row>
    <row r="60" spans="2:11" x14ac:dyDescent="0.2">
      <c r="B60" s="157" t="s">
        <v>251</v>
      </c>
      <c r="D60" s="169"/>
    </row>
    <row r="63" spans="2:11" ht="15.75" hidden="1" customHeight="1" x14ac:dyDescent="0.2">
      <c r="B63" s="139" t="s">
        <v>189</v>
      </c>
    </row>
    <row r="64" spans="2:11" ht="15.75" hidden="1" customHeight="1" x14ac:dyDescent="0.2">
      <c r="B64" s="139" t="s">
        <v>255</v>
      </c>
    </row>
    <row r="65" ht="15" customHeight="1" x14ac:dyDescent="0.2"/>
  </sheetData>
  <sheetProtection password="E8A8" sheet="1" formatCells="0" formatColumns="0" formatRows="0" insertColumns="0" insertRows="0" insertHyperlinks="0" deleteColumns="0" deleteRows="0" sort="0" autoFilter="0" pivotTables="0"/>
  <mergeCells count="30">
    <mergeCell ref="Z2:Z5"/>
    <mergeCell ref="AA2:AA5"/>
    <mergeCell ref="Q2:V3"/>
    <mergeCell ref="W2:W3"/>
    <mergeCell ref="Y2:Y3"/>
    <mergeCell ref="L4:L5"/>
    <mergeCell ref="M4:M5"/>
    <mergeCell ref="K3:M3"/>
    <mergeCell ref="N3:P3"/>
    <mergeCell ref="X2:X3"/>
    <mergeCell ref="W4:Y5"/>
    <mergeCell ref="K4:K5"/>
    <mergeCell ref="K2:P2"/>
    <mergeCell ref="O4:O5"/>
    <mergeCell ref="Q4:Q5"/>
    <mergeCell ref="R4:R5"/>
    <mergeCell ref="U4:U5"/>
    <mergeCell ref="P4:P5"/>
    <mergeCell ref="S4:S5"/>
    <mergeCell ref="N4:N5"/>
    <mergeCell ref="J4:J5"/>
    <mergeCell ref="G4:G5"/>
    <mergeCell ref="H4:H5"/>
    <mergeCell ref="F4:F5"/>
    <mergeCell ref="B2:B5"/>
    <mergeCell ref="I4:I5"/>
    <mergeCell ref="C2:J3"/>
    <mergeCell ref="C4:C5"/>
    <mergeCell ref="E4:E5"/>
    <mergeCell ref="D4:D5"/>
  </mergeCells>
  <phoneticPr fontId="13" type="noConversion"/>
  <conditionalFormatting sqref="J9">
    <cfRule type="cellIs" dxfId="72" priority="76" operator="lessThan">
      <formula>$AD$9</formula>
    </cfRule>
    <cfRule type="cellIs" dxfId="71" priority="56" operator="greaterThan">
      <formula>$AD$9</formula>
    </cfRule>
  </conditionalFormatting>
  <conditionalFormatting sqref="J10">
    <cfRule type="cellIs" dxfId="70" priority="75" operator="lessThan">
      <formula>$AD$10</formula>
    </cfRule>
    <cfRule type="cellIs" dxfId="69" priority="55" operator="greaterThan">
      <formula>$AD$10</formula>
    </cfRule>
  </conditionalFormatting>
  <conditionalFormatting sqref="J11">
    <cfRule type="cellIs" dxfId="68" priority="54" operator="greaterThan">
      <formula>$AD$11</formula>
    </cfRule>
    <cfRule type="cellIs" dxfId="67" priority="74" operator="lessThan">
      <formula>$AD$11</formula>
    </cfRule>
  </conditionalFormatting>
  <conditionalFormatting sqref="J12">
    <cfRule type="cellIs" dxfId="66" priority="73" operator="lessThan">
      <formula>$AD$12</formula>
    </cfRule>
    <cfRule type="cellIs" dxfId="65" priority="53" operator="greaterThan">
      <formula>$AD$12</formula>
    </cfRule>
  </conditionalFormatting>
  <conditionalFormatting sqref="J13">
    <cfRule type="cellIs" dxfId="64" priority="52" operator="greaterThan">
      <formula>$AD$13</formula>
    </cfRule>
    <cfRule type="cellIs" dxfId="63" priority="72" operator="lessThan">
      <formula>$AD$13</formula>
    </cfRule>
  </conditionalFormatting>
  <conditionalFormatting sqref="J14">
    <cfRule type="cellIs" dxfId="62" priority="51" operator="greaterThan">
      <formula>$AD$14</formula>
    </cfRule>
    <cfRule type="cellIs" dxfId="61" priority="71" operator="lessThan">
      <formula>$AD$14</formula>
    </cfRule>
  </conditionalFormatting>
  <conditionalFormatting sqref="J15">
    <cfRule type="cellIs" dxfId="60" priority="70" operator="lessThan">
      <formula>$AD$15</formula>
    </cfRule>
    <cfRule type="cellIs" dxfId="59" priority="50" operator="greaterThan">
      <formula>$AD$15</formula>
    </cfRule>
  </conditionalFormatting>
  <conditionalFormatting sqref="J16">
    <cfRule type="cellIs" dxfId="58" priority="69" operator="lessThan">
      <formula>$AD$16</formula>
    </cfRule>
    <cfRule type="cellIs" dxfId="57" priority="49" operator="greaterThan">
      <formula>$AD$16</formula>
    </cfRule>
  </conditionalFormatting>
  <conditionalFormatting sqref="J17">
    <cfRule type="cellIs" dxfId="56" priority="48" operator="greaterThan">
      <formula>$AD$17</formula>
    </cfRule>
    <cfRule type="cellIs" dxfId="55" priority="68" operator="lessThan">
      <formula>$AD$17</formula>
    </cfRule>
  </conditionalFormatting>
  <conditionalFormatting sqref="J18">
    <cfRule type="cellIs" dxfId="54" priority="67" operator="lessThan">
      <formula>$AD$18</formula>
    </cfRule>
    <cfRule type="cellIs" dxfId="53" priority="47" operator="greaterThan">
      <formula>$AD$18</formula>
    </cfRule>
  </conditionalFormatting>
  <conditionalFormatting sqref="J19">
    <cfRule type="cellIs" dxfId="52" priority="46" operator="greaterThan">
      <formula>$AD$19</formula>
    </cfRule>
    <cfRule type="cellIs" dxfId="51" priority="66" operator="lessThan">
      <formula>$AD$19</formula>
    </cfRule>
  </conditionalFormatting>
  <conditionalFormatting sqref="J20">
    <cfRule type="cellIs" dxfId="50" priority="45" operator="greaterThan">
      <formula>$AD$20</formula>
    </cfRule>
    <cfRule type="cellIs" dxfId="49" priority="65" operator="lessThan">
      <formula>$AD$20</formula>
    </cfRule>
  </conditionalFormatting>
  <conditionalFormatting sqref="J21">
    <cfRule type="cellIs" dxfId="48" priority="44" operator="greaterThan">
      <formula>$AD$21</formula>
    </cfRule>
    <cfRule type="cellIs" dxfId="47" priority="64" operator="lessThan">
      <formula>$AD$21</formula>
    </cfRule>
  </conditionalFormatting>
  <conditionalFormatting sqref="J22">
    <cfRule type="cellIs" dxfId="46" priority="63" operator="lessThan">
      <formula>$AD$22</formula>
    </cfRule>
    <cfRule type="cellIs" dxfId="45" priority="43" operator="greaterThan">
      <formula>$AD$22</formula>
    </cfRule>
  </conditionalFormatting>
  <conditionalFormatting sqref="J23">
    <cfRule type="cellIs" dxfId="44" priority="42" operator="greaterThan">
      <formula>$AD$23</formula>
    </cfRule>
    <cfRule type="cellIs" dxfId="43" priority="62" operator="lessThan">
      <formula>$AD$23</formula>
    </cfRule>
  </conditionalFormatting>
  <conditionalFormatting sqref="J24">
    <cfRule type="cellIs" dxfId="42" priority="41" operator="greaterThan">
      <formula>$AD$24</formula>
    </cfRule>
    <cfRule type="cellIs" dxfId="41" priority="61" operator="lessThan">
      <formula>$AD$24</formula>
    </cfRule>
  </conditionalFormatting>
  <conditionalFormatting sqref="J25">
    <cfRule type="cellIs" dxfId="40" priority="40" operator="greaterThan">
      <formula>$AD$25</formula>
    </cfRule>
    <cfRule type="cellIs" dxfId="39" priority="60" operator="lessThan">
      <formula>$AD$25</formula>
    </cfRule>
  </conditionalFormatting>
  <conditionalFormatting sqref="J26">
    <cfRule type="cellIs" dxfId="38" priority="36" operator="lessThan">
      <formula>$AD$26</formula>
    </cfRule>
    <cfRule type="cellIs" dxfId="37" priority="35" operator="greaterThan">
      <formula>$AD$26</formula>
    </cfRule>
  </conditionalFormatting>
  <conditionalFormatting sqref="J27">
    <cfRule type="cellIs" dxfId="36" priority="30" operator="lessThan">
      <formula>$AD$27</formula>
    </cfRule>
    <cfRule type="cellIs" dxfId="35" priority="29" operator="greaterThan">
      <formula>$AD$27</formula>
    </cfRule>
  </conditionalFormatting>
  <conditionalFormatting sqref="J28">
    <cfRule type="cellIs" dxfId="34" priority="28" operator="lessThan">
      <formula>$AD$28</formula>
    </cfRule>
    <cfRule type="cellIs" dxfId="33" priority="27" operator="greaterThan">
      <formula>$AD$28</formula>
    </cfRule>
  </conditionalFormatting>
  <conditionalFormatting sqref="J29">
    <cfRule type="cellIs" dxfId="32" priority="26" operator="lessThan">
      <formula>$AD$29</formula>
    </cfRule>
    <cfRule type="cellIs" dxfId="31" priority="25" operator="greaterThan">
      <formula>$AD$29</formula>
    </cfRule>
  </conditionalFormatting>
  <conditionalFormatting sqref="J30">
    <cfRule type="cellIs" dxfId="30" priority="24" operator="lessThan">
      <formula>$AD$30</formula>
    </cfRule>
    <cfRule type="cellIs" dxfId="29" priority="23" operator="greaterThan">
      <formula>$AD$30</formula>
    </cfRule>
  </conditionalFormatting>
  <conditionalFormatting sqref="J31">
    <cfRule type="cellIs" dxfId="28" priority="22" operator="lessThan">
      <formula>$AD$31</formula>
    </cfRule>
    <cfRule type="cellIs" dxfId="27" priority="21" operator="greaterThan">
      <formula>$AD$31</formula>
    </cfRule>
  </conditionalFormatting>
  <conditionalFormatting sqref="J32">
    <cfRule type="cellIs" dxfId="26" priority="19" operator="greaterThan">
      <formula>$AD$32</formula>
    </cfRule>
    <cfRule type="cellIs" dxfId="25" priority="20" operator="lessThan">
      <formula>$AD$32</formula>
    </cfRule>
  </conditionalFormatting>
  <conditionalFormatting sqref="J33">
    <cfRule type="cellIs" dxfId="24" priority="17" operator="greaterThan">
      <formula>$AD$33</formula>
    </cfRule>
    <cfRule type="cellIs" dxfId="23" priority="18" operator="lessThan">
      <formula>$AD$33</formula>
    </cfRule>
  </conditionalFormatting>
  <conditionalFormatting sqref="J34">
    <cfRule type="cellIs" dxfId="22" priority="16" operator="lessThan">
      <formula>$AD$34</formula>
    </cfRule>
    <cfRule type="cellIs" dxfId="21" priority="15" operator="greaterThan">
      <formula>$AD$34</formula>
    </cfRule>
  </conditionalFormatting>
  <conditionalFormatting sqref="J35">
    <cfRule type="cellIs" dxfId="20" priority="14" operator="lessThan">
      <formula>$AD$35</formula>
    </cfRule>
    <cfRule type="cellIs" dxfId="19" priority="13" operator="greaterThan">
      <formula>$AD$35</formula>
    </cfRule>
  </conditionalFormatting>
  <conditionalFormatting sqref="J36">
    <cfRule type="cellIs" dxfId="18" priority="12" operator="lessThan">
      <formula>$AD$36</formula>
    </cfRule>
    <cfRule type="cellIs" dxfId="17" priority="11" operator="greaterThan">
      <formula>$AD$36</formula>
    </cfRule>
  </conditionalFormatting>
  <conditionalFormatting sqref="J37">
    <cfRule type="cellIs" dxfId="16" priority="9" operator="greaterThan">
      <formula>$AD$37</formula>
    </cfRule>
    <cfRule type="cellIs" dxfId="15" priority="10" operator="lessThan">
      <formula>$AD$37</formula>
    </cfRule>
  </conditionalFormatting>
  <conditionalFormatting sqref="J38">
    <cfRule type="cellIs" dxfId="14" priority="7" operator="greaterThan">
      <formula>$AD$38</formula>
    </cfRule>
    <cfRule type="cellIs" dxfId="13" priority="8" operator="lessThan">
      <formula>$AD$38</formula>
    </cfRule>
  </conditionalFormatting>
  <conditionalFormatting sqref="J39">
    <cfRule type="cellIs" dxfId="12" priority="6" operator="lessThan">
      <formula>$AD$39</formula>
    </cfRule>
    <cfRule type="cellIs" dxfId="11" priority="5" operator="greaterThan">
      <formula>$AD$39</formula>
    </cfRule>
  </conditionalFormatting>
  <conditionalFormatting sqref="J40">
    <cfRule type="cellIs" dxfId="10" priority="4" operator="lessThan">
      <formula>$AD$40</formula>
    </cfRule>
    <cfRule type="cellIs" dxfId="9" priority="3" operator="greaterThan">
      <formula>$AD$40</formula>
    </cfRule>
  </conditionalFormatting>
  <conditionalFormatting sqref="J41">
    <cfRule type="cellIs" dxfId="8" priority="1" operator="greaterThan">
      <formula>$AD$41</formula>
    </cfRule>
    <cfRule type="cellIs" dxfId="7" priority="2" operator="lessThan">
      <formula>$AD$41</formula>
    </cfRule>
  </conditionalFormatting>
  <conditionalFormatting sqref="J42">
    <cfRule type="cellIs" dxfId="6" priority="58" operator="lessThan">
      <formula>$AD$42</formula>
    </cfRule>
    <cfRule type="cellIs" dxfId="5" priority="38" operator="greaterThan">
      <formula>$AD$42</formula>
    </cfRule>
  </conditionalFormatting>
  <conditionalFormatting sqref="J43">
    <cfRule type="cellIs" dxfId="4" priority="37" operator="greaterThan">
      <formula>$AD$43</formula>
    </cfRule>
    <cfRule type="cellIs" dxfId="3" priority="57" operator="lessThan">
      <formula>$AD$43</formula>
    </cfRule>
  </conditionalFormatting>
  <conditionalFormatting sqref="AA6:AA43">
    <cfRule type="cellIs" dxfId="2" priority="90" operator="greaterThan">
      <formula>0</formula>
    </cfRule>
  </conditionalFormatting>
  <conditionalFormatting sqref="AA9:AA43">
    <cfRule type="cellIs" dxfId="1" priority="87" operator="equal">
      <formula>""</formula>
    </cfRule>
    <cfRule type="cellIs" dxfId="0" priority="95" operator="lessThan">
      <formula>0</formula>
    </cfRule>
  </conditionalFormatting>
  <dataValidations count="2">
    <dataValidation type="list" allowBlank="1" showInputMessage="1" showErrorMessage="1" sqref="F7:F43" xr:uid="{00000000-0002-0000-0300-000000000000}">
      <formula1>$B$63:$B$64</formula1>
    </dataValidation>
    <dataValidation type="list" showInputMessage="1" showErrorMessage="1" sqref="D9:D43" xr:uid="{00000000-0002-0000-0300-000001000000}">
      <formula1>$B$46:$B$60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2"/>
  <sheetViews>
    <sheetView topLeftCell="A28" zoomScale="80" zoomScaleNormal="80" workbookViewId="0">
      <selection sqref="A1:A2"/>
    </sheetView>
  </sheetViews>
  <sheetFormatPr baseColWidth="10" defaultColWidth="8.83203125" defaultRowHeight="16" x14ac:dyDescent="0.2"/>
  <cols>
    <col min="1" max="1" width="32.6640625" style="1" customWidth="1"/>
    <col min="2" max="2" width="49.33203125" style="1" customWidth="1"/>
    <col min="3" max="5" width="17.5" style="1" customWidth="1"/>
    <col min="6" max="6" width="19" style="1" customWidth="1"/>
    <col min="7" max="9" width="17.5" style="1" customWidth="1"/>
    <col min="10" max="16384" width="8.83203125" style="1"/>
  </cols>
  <sheetData>
    <row r="1" spans="1:9" ht="32.25" customHeight="1" x14ac:dyDescent="0.2">
      <c r="A1" s="385" t="s">
        <v>230</v>
      </c>
      <c r="B1" s="387" t="s">
        <v>233</v>
      </c>
      <c r="C1" s="389" t="s">
        <v>242</v>
      </c>
      <c r="D1" s="389"/>
      <c r="E1" s="387" t="s">
        <v>229</v>
      </c>
      <c r="F1" s="383" t="s">
        <v>253</v>
      </c>
      <c r="G1" s="383"/>
      <c r="H1" s="383" t="s">
        <v>254</v>
      </c>
      <c r="I1" s="384"/>
    </row>
    <row r="2" spans="1:9" ht="17" x14ac:dyDescent="0.2">
      <c r="A2" s="386"/>
      <c r="B2" s="388"/>
      <c r="C2" s="168" t="s">
        <v>238</v>
      </c>
      <c r="D2" s="168" t="s">
        <v>239</v>
      </c>
      <c r="E2" s="388"/>
      <c r="F2" s="117" t="s">
        <v>238</v>
      </c>
      <c r="G2" s="117" t="s">
        <v>239</v>
      </c>
      <c r="H2" s="117" t="s">
        <v>238</v>
      </c>
      <c r="I2" s="118" t="s">
        <v>239</v>
      </c>
    </row>
    <row r="3" spans="1:9" x14ac:dyDescent="0.2">
      <c r="A3" s="161" t="str">
        <f>'Расчет ФОТ'!B9</f>
        <v>Менеджер объекта</v>
      </c>
      <c r="B3" s="159" t="str">
        <f>'Расчет ФОТ'!D9</f>
        <v>Управление объектом</v>
      </c>
      <c r="C3" s="160">
        <f>IF('Расчет ФОТ'!Y9&gt;0,'Расчет ФОТ'!Y9+IF('Расчет ФОТ'!D9='Расчет ФОТ'!$D$7,$G$60,SUMIF($B$45:$B$60,'Расчет ФОТ'!D9,$G$45:$G$60)),0)</f>
        <v>796.93800419992374</v>
      </c>
      <c r="D3" s="160">
        <f>C3*(1+Калькуляция!$C$70)</f>
        <v>956.3256050399084</v>
      </c>
      <c r="E3" s="160">
        <f>IF('Расчет ФОТ'!J9&gt;0,'Расчет ФОТ'!J9,0)</f>
        <v>1971.84</v>
      </c>
      <c r="F3" s="160">
        <f t="shared" ref="F3:F37" si="0">IF(E3&gt;0,E3*C3,0)</f>
        <v>1571434.2342015775</v>
      </c>
      <c r="G3" s="160">
        <f t="shared" ref="G3:G37" si="1">IF(E3&gt;0,E3*D3,0)</f>
        <v>1885721.081041893</v>
      </c>
      <c r="H3" s="160">
        <f>F3/Калькуляция!$F$9</f>
        <v>130952.85285013146</v>
      </c>
      <c r="I3" s="128">
        <f>G3/Калькуляция!$F$9</f>
        <v>157143.42342015775</v>
      </c>
    </row>
    <row r="4" spans="1:9" x14ac:dyDescent="0.2">
      <c r="A4" s="161">
        <f>'Расчет ФОТ'!B10</f>
        <v>0</v>
      </c>
      <c r="B4" s="159">
        <f>'Расчет ФОТ'!D10</f>
        <v>0</v>
      </c>
      <c r="C4" s="160">
        <f>IF('Расчет ФОТ'!Y10&gt;0,'Расчет ФОТ'!Y10+IF('Расчет ФОТ'!D10='Расчет ФОТ'!$D$7,$G$60,SUMIF($B$45:$B$60,'Расчет ФОТ'!D10,$G$45:$G$60)),0)</f>
        <v>0</v>
      </c>
      <c r="D4" s="160">
        <f>C4*(1+Калькуляция!$C$70)</f>
        <v>0</v>
      </c>
      <c r="E4" s="160">
        <f>IF('Расчет ФОТ'!J10&gt;0,'Расчет ФОТ'!J10,0)</f>
        <v>0</v>
      </c>
      <c r="F4" s="160">
        <f t="shared" si="0"/>
        <v>0</v>
      </c>
      <c r="G4" s="160">
        <f t="shared" si="1"/>
        <v>0</v>
      </c>
      <c r="H4" s="160">
        <f>F4/Калькуляция!$F$9</f>
        <v>0</v>
      </c>
      <c r="I4" s="128">
        <f>G4/Калькуляция!$F$9</f>
        <v>0</v>
      </c>
    </row>
    <row r="5" spans="1:9" x14ac:dyDescent="0.2">
      <c r="A5" s="161">
        <f>'Расчет ФОТ'!B11</f>
        <v>0</v>
      </c>
      <c r="B5" s="159">
        <f>'Расчет ФОТ'!D11</f>
        <v>0</v>
      </c>
      <c r="C5" s="160">
        <f>IF('Расчет ФОТ'!Y11&gt;0,'Расчет ФОТ'!Y11+IF('Расчет ФОТ'!D11='Расчет ФОТ'!$D$7,$G$60,SUMIF($B$45:$B$60,'Расчет ФОТ'!D11,$G$45:$G$60)),0)</f>
        <v>0</v>
      </c>
      <c r="D5" s="160">
        <f>C5*(1+Калькуляция!$C$70)</f>
        <v>0</v>
      </c>
      <c r="E5" s="160">
        <f>IF('Расчет ФОТ'!J11&gt;0,'Расчет ФОТ'!J11,0)</f>
        <v>0</v>
      </c>
      <c r="F5" s="160">
        <f t="shared" si="0"/>
        <v>0</v>
      </c>
      <c r="G5" s="160">
        <f t="shared" si="1"/>
        <v>0</v>
      </c>
      <c r="H5" s="160">
        <f>F5/Калькуляция!$F$9</f>
        <v>0</v>
      </c>
      <c r="I5" s="128">
        <f>G5/Калькуляция!$F$9</f>
        <v>0</v>
      </c>
    </row>
    <row r="6" spans="1:9" x14ac:dyDescent="0.2">
      <c r="A6" s="161">
        <f>'Расчет ФОТ'!B12</f>
        <v>0</v>
      </c>
      <c r="B6" s="159">
        <f>'Расчет ФОТ'!D12</f>
        <v>0</v>
      </c>
      <c r="C6" s="160">
        <f>IF('Расчет ФОТ'!Y12&gt;0,'Расчет ФОТ'!Y12+IF('Расчет ФОТ'!D12='Расчет ФОТ'!$D$7,$G$60,SUMIF($B$45:$B$60,'Расчет ФОТ'!D12,$G$45:$G$60)),0)</f>
        <v>0</v>
      </c>
      <c r="D6" s="160">
        <f>C6*(1+Калькуляция!$C$70)</f>
        <v>0</v>
      </c>
      <c r="E6" s="160">
        <f>IF('Расчет ФОТ'!J12&gt;0,'Расчет ФОТ'!J12,0)</f>
        <v>0</v>
      </c>
      <c r="F6" s="160">
        <f t="shared" si="0"/>
        <v>0</v>
      </c>
      <c r="G6" s="160">
        <f t="shared" si="1"/>
        <v>0</v>
      </c>
      <c r="H6" s="160">
        <f>F6/Калькуляция!$F$9</f>
        <v>0</v>
      </c>
      <c r="I6" s="128">
        <f>G6/Калькуляция!$F$9</f>
        <v>0</v>
      </c>
    </row>
    <row r="7" spans="1:9" x14ac:dyDescent="0.2">
      <c r="A7" s="161" t="str">
        <f>'Расчет ФОТ'!B13</f>
        <v>Оператор внутренней уборки</v>
      </c>
      <c r="B7" s="159" t="str">
        <f>'Расчет ФОТ'!D13</f>
        <v>Уборка внутренних помещений (ОВУ)</v>
      </c>
      <c r="C7" s="160">
        <f>IF('Расчет ФОТ'!Y13&gt;0,'Расчет ФОТ'!Y13+IF('Расчет ФОТ'!D13='Расчет ФОТ'!$D$7,$G$60,SUMIF($B$45:$B$60,'Расчет ФОТ'!D13,$G$45:$G$60)),0)</f>
        <v>515.96137063423032</v>
      </c>
      <c r="D7" s="160">
        <f>C7*(1+Калькуляция!$C$70)</f>
        <v>619.15364476107641</v>
      </c>
      <c r="E7" s="160">
        <f>IF('Расчет ФОТ'!J13&gt;0,'Расчет ФОТ'!J13,0)</f>
        <v>15600</v>
      </c>
      <c r="F7" s="160">
        <f t="shared" si="0"/>
        <v>8048997.3818939934</v>
      </c>
      <c r="G7" s="160">
        <f t="shared" si="1"/>
        <v>9658796.8582727928</v>
      </c>
      <c r="H7" s="160">
        <f>F7/Калькуляция!$F$9</f>
        <v>670749.78182449949</v>
      </c>
      <c r="I7" s="128">
        <f>G7/Калькуляция!$F$9</f>
        <v>804899.73818939936</v>
      </c>
    </row>
    <row r="8" spans="1:9" x14ac:dyDescent="0.2">
      <c r="A8" s="161" t="str">
        <f>'Расчет ФОТ'!B14</f>
        <v>Оператор поломоечной машины</v>
      </c>
      <c r="B8" s="159" t="str">
        <f>'Расчет ФОТ'!D14</f>
        <v>Уборка внутренних помещений (ОПМ)</v>
      </c>
      <c r="C8" s="160">
        <f>IF('Расчет ФОТ'!Y14&gt;0,'Расчет ФОТ'!Y14+IF('Расчет ФОТ'!D14='Расчет ФОТ'!$D$7,$G$60,SUMIF($B$45:$B$60,'Расчет ФОТ'!D14,$G$45:$G$60)),0)</f>
        <v>486.59191662549188</v>
      </c>
      <c r="D8" s="160">
        <f>C8*(1+Калькуляция!$C$70)</f>
        <v>583.91029995059023</v>
      </c>
      <c r="E8" s="160">
        <f>IF('Расчет ФОТ'!J14&gt;0,'Расчет ФОТ'!J14,0)</f>
        <v>9360</v>
      </c>
      <c r="F8" s="160">
        <f t="shared" si="0"/>
        <v>4554500.3396146037</v>
      </c>
      <c r="G8" s="160">
        <f t="shared" si="1"/>
        <v>5465400.4075375246</v>
      </c>
      <c r="H8" s="160">
        <f>F8/Калькуляция!$F$9</f>
        <v>379541.69496788364</v>
      </c>
      <c r="I8" s="128">
        <f>G8/Калькуляция!$F$9</f>
        <v>455450.0339614604</v>
      </c>
    </row>
    <row r="9" spans="1:9" x14ac:dyDescent="0.2">
      <c r="A9" s="161">
        <f>'Расчет ФОТ'!B15</f>
        <v>0</v>
      </c>
      <c r="B9" s="159">
        <f>'Расчет ФОТ'!D15</f>
        <v>0</v>
      </c>
      <c r="C9" s="160">
        <f>IF('Расчет ФОТ'!Y15&gt;0,'Расчет ФОТ'!Y15+IF('Расчет ФОТ'!D15='Расчет ФОТ'!$D$7,$G$60,SUMIF($B$45:$B$60,'Расчет ФОТ'!D15,$G$45:$G$60)),0)</f>
        <v>0</v>
      </c>
      <c r="D9" s="160">
        <f>C9*(1+Калькуляция!$C$70)</f>
        <v>0</v>
      </c>
      <c r="E9" s="160">
        <f>IF('Расчет ФОТ'!J15&gt;0,'Расчет ФОТ'!J15,0)</f>
        <v>0</v>
      </c>
      <c r="F9" s="160">
        <f t="shared" si="0"/>
        <v>0</v>
      </c>
      <c r="G9" s="160">
        <f t="shared" si="1"/>
        <v>0</v>
      </c>
      <c r="H9" s="160">
        <f>F9/Калькуляция!$F$9</f>
        <v>0</v>
      </c>
      <c r="I9" s="128">
        <f>G9/Калькуляция!$F$9</f>
        <v>0</v>
      </c>
    </row>
    <row r="10" spans="1:9" x14ac:dyDescent="0.2">
      <c r="A10" s="161" t="str">
        <f>'Расчет ФОТ'!B16</f>
        <v>Тележечник</v>
      </c>
      <c r="B10" s="159" t="str">
        <f>'Расчет ФОТ'!D16</f>
        <v>Сбор тележек</v>
      </c>
      <c r="C10" s="160">
        <f>IF('Расчет ФОТ'!Y16&gt;0,'Расчет ФОТ'!Y16+IF('Расчет ФОТ'!D16='Расчет ФОТ'!$D$7,$G$60,SUMIF($B$45:$B$60,'Расчет ФОТ'!D16,$G$45:$G$60)),0)</f>
        <v>463.09308705702006</v>
      </c>
      <c r="D10" s="160">
        <f>C10*(1+Калькуляция!$C$70)</f>
        <v>555.71170446842405</v>
      </c>
      <c r="E10" s="160">
        <f>IF('Расчет ФОТ'!J16&gt;0,'Расчет ФОТ'!J16,0)</f>
        <v>3120</v>
      </c>
      <c r="F10" s="160">
        <f t="shared" si="0"/>
        <v>1444850.4316179026</v>
      </c>
      <c r="G10" s="160">
        <f t="shared" si="1"/>
        <v>1733820.5179414831</v>
      </c>
      <c r="H10" s="160">
        <f>F10/Калькуляция!$F$9</f>
        <v>120404.20263482521</v>
      </c>
      <c r="I10" s="128">
        <f>G10/Калькуляция!$F$9</f>
        <v>144485.04316179027</v>
      </c>
    </row>
    <row r="11" spans="1:9" x14ac:dyDescent="0.2">
      <c r="A11" s="161">
        <f>'Расчет ФОТ'!B17</f>
        <v>0</v>
      </c>
      <c r="B11" s="159">
        <f>'Расчет ФОТ'!D17</f>
        <v>0</v>
      </c>
      <c r="C11" s="160">
        <f>IF('Расчет ФОТ'!Y17&gt;0,'Расчет ФОТ'!Y17+IF('Расчет ФОТ'!D17='Расчет ФОТ'!$D$7,$G$60,SUMIF($B$45:$B$60,'Расчет ФОТ'!D17,$G$45:$G$60)),0)</f>
        <v>0</v>
      </c>
      <c r="D11" s="160">
        <f>C11*(1+Калькуляция!$C$70)</f>
        <v>0</v>
      </c>
      <c r="E11" s="160">
        <f>IF('Расчет ФОТ'!J17&gt;0,'Расчет ФОТ'!J17,0)</f>
        <v>0</v>
      </c>
      <c r="F11" s="160">
        <f t="shared" si="0"/>
        <v>0</v>
      </c>
      <c r="G11" s="160">
        <f t="shared" si="1"/>
        <v>0</v>
      </c>
      <c r="H11" s="160">
        <f>F11/Калькуляция!$F$9</f>
        <v>0</v>
      </c>
      <c r="I11" s="128">
        <f>G11/Калькуляция!$F$9</f>
        <v>0</v>
      </c>
    </row>
    <row r="12" spans="1:9" x14ac:dyDescent="0.2">
      <c r="A12" s="161" t="str">
        <f>'Расчет ФОТ'!B18</f>
        <v>Оператор внешней уборки</v>
      </c>
      <c r="B12" s="159" t="str">
        <f>'Расчет ФОТ'!D18</f>
        <v>Уборка внешней территории (ОВнУ)</v>
      </c>
      <c r="C12" s="160">
        <f>IF('Расчет ФОТ'!Y18&gt;0,'Расчет ФОТ'!Y18+IF('Расчет ФОТ'!D18='Расчет ФОТ'!$D$7,$G$60,SUMIF($B$45:$B$60,'Расчет ФОТ'!D18,$G$45:$G$60)),0)</f>
        <v>504.22012175369707</v>
      </c>
      <c r="D12" s="160">
        <f>C12*(1+Калькуляция!$C$70)</f>
        <v>605.06414610443642</v>
      </c>
      <c r="E12" s="160">
        <f>IF('Расчет ФОТ'!J18&gt;0,'Расчет ФОТ'!J18,0)</f>
        <v>6240</v>
      </c>
      <c r="F12" s="160">
        <f t="shared" si="0"/>
        <v>3146333.5597430696</v>
      </c>
      <c r="G12" s="160">
        <f t="shared" si="1"/>
        <v>3775600.2716916832</v>
      </c>
      <c r="H12" s="160">
        <f>F12/Калькуляция!$F$9</f>
        <v>262194.46331192245</v>
      </c>
      <c r="I12" s="128">
        <f>G12/Калькуляция!$F$9</f>
        <v>314633.35597430693</v>
      </c>
    </row>
    <row r="13" spans="1:9" x14ac:dyDescent="0.2">
      <c r="A13" s="161">
        <f>'Расчет ФОТ'!B19</f>
        <v>0</v>
      </c>
      <c r="B13" s="159">
        <f>'Расчет ФОТ'!D19</f>
        <v>0</v>
      </c>
      <c r="C13" s="160">
        <f>IF('Расчет ФОТ'!Y19&gt;0,'Расчет ФОТ'!Y19+IF('Расчет ФОТ'!D19='Расчет ФОТ'!$D$7,$G$60,SUMIF($B$45:$B$60,'Расчет ФОТ'!D19,$G$45:$G$60)),0)</f>
        <v>0</v>
      </c>
      <c r="D13" s="160">
        <f>C13*(1+Калькуляция!$C$70)</f>
        <v>0</v>
      </c>
      <c r="E13" s="160">
        <f>IF('Расчет ФОТ'!J19&gt;0,'Расчет ФОТ'!J19,0)</f>
        <v>0</v>
      </c>
      <c r="F13" s="160">
        <f t="shared" si="0"/>
        <v>0</v>
      </c>
      <c r="G13" s="160">
        <f t="shared" si="1"/>
        <v>0</v>
      </c>
      <c r="H13" s="160">
        <f>F13/Калькуляция!$F$9</f>
        <v>0</v>
      </c>
      <c r="I13" s="128">
        <f>G13/Калькуляция!$F$9</f>
        <v>0</v>
      </c>
    </row>
    <row r="14" spans="1:9" x14ac:dyDescent="0.2">
      <c r="A14" s="161" t="str">
        <f>'Расчет ФОТ'!B20</f>
        <v>Тракторист</v>
      </c>
      <c r="B14" s="159" t="str">
        <f>'Расчет ФОТ'!D20</f>
        <v>Уборка внешней территории с помощью трактора</v>
      </c>
      <c r="C14" s="160">
        <f>IF('Расчет ФОТ'!Y20&gt;0,'Расчет ФОТ'!Y20+IF('Расчет ФОТ'!D20='Расчет ФОТ'!$D$7,$G$60,SUMIF($B$45:$B$60,'Расчет ФОТ'!D20,$G$45:$G$60)),0)</f>
        <v>691.2099455220897</v>
      </c>
      <c r="D14" s="160">
        <f>C14*(1+Калькуляция!$C$70)</f>
        <v>829.45193462650764</v>
      </c>
      <c r="E14" s="160">
        <f>IF('Расчет ФОТ'!J20&gt;0,'Расчет ФОТ'!J20,0)</f>
        <v>1300</v>
      </c>
      <c r="F14" s="160">
        <f t="shared" si="0"/>
        <v>898572.92917871661</v>
      </c>
      <c r="G14" s="160">
        <f t="shared" si="1"/>
        <v>1078287.5150144598</v>
      </c>
      <c r="H14" s="160">
        <f>F14/Калькуляция!$F$9</f>
        <v>74881.077431559723</v>
      </c>
      <c r="I14" s="128">
        <f>G14/Калькуляция!$F$9</f>
        <v>89857.292917871659</v>
      </c>
    </row>
    <row r="15" spans="1:9" x14ac:dyDescent="0.2">
      <c r="A15" s="161">
        <f>'Расчет ФОТ'!B21</f>
        <v>0</v>
      </c>
      <c r="B15" s="159">
        <f>'Расчет ФОТ'!D21</f>
        <v>0</v>
      </c>
      <c r="C15" s="160">
        <f>IF('Расчет ФОТ'!Y21&gt;0,'Расчет ФОТ'!Y21+IF('Расчет ФОТ'!D21='Расчет ФОТ'!$D$7,$G$60,SUMIF($B$45:$B$60,'Расчет ФОТ'!D21,$G$45:$G$60)),0)</f>
        <v>0</v>
      </c>
      <c r="D15" s="160">
        <f>C15*(1+Калькуляция!$C$70)</f>
        <v>0</v>
      </c>
      <c r="E15" s="160">
        <f>IF('Расчет ФОТ'!J21&gt;0,'Расчет ФОТ'!J21,0)</f>
        <v>0</v>
      </c>
      <c r="F15" s="160">
        <f t="shared" si="0"/>
        <v>0</v>
      </c>
      <c r="G15" s="160">
        <f t="shared" si="1"/>
        <v>0</v>
      </c>
      <c r="H15" s="160">
        <f>F15/Калькуляция!$F$9</f>
        <v>0</v>
      </c>
      <c r="I15" s="128">
        <f>G15/Калькуляция!$F$9</f>
        <v>0</v>
      </c>
    </row>
    <row r="16" spans="1:9" x14ac:dyDescent="0.2">
      <c r="A16" s="161">
        <f>'Расчет ФОТ'!B22</f>
        <v>0</v>
      </c>
      <c r="B16" s="159">
        <f>'Расчет ФОТ'!D22</f>
        <v>0</v>
      </c>
      <c r="C16" s="160">
        <f>IF('Расчет ФОТ'!Y22&gt;0,'Расчет ФОТ'!Y22+IF('Расчет ФОТ'!D22='Расчет ФОТ'!$D$7,$G$60,SUMIF($B$45:$B$60,'Расчет ФОТ'!D22,$G$45:$G$60)),0)</f>
        <v>0</v>
      </c>
      <c r="D16" s="160">
        <f>C16*(1+Калькуляция!$C$70)</f>
        <v>0</v>
      </c>
      <c r="E16" s="160">
        <f>IF('Расчет ФОТ'!J22&gt;0,'Расчет ФОТ'!J22,0)</f>
        <v>0</v>
      </c>
      <c r="F16" s="160">
        <f t="shared" si="0"/>
        <v>0</v>
      </c>
      <c r="G16" s="160">
        <f t="shared" si="1"/>
        <v>0</v>
      </c>
      <c r="H16" s="160">
        <f>F16/Калькуляция!$F$9</f>
        <v>0</v>
      </c>
      <c r="I16" s="128">
        <f>G16/Калькуляция!$F$9</f>
        <v>0</v>
      </c>
    </row>
    <row r="17" spans="1:9" x14ac:dyDescent="0.2">
      <c r="A17" s="161">
        <f>'Расчет ФОТ'!B23</f>
        <v>0</v>
      </c>
      <c r="B17" s="159">
        <f>'Расчет ФОТ'!D23</f>
        <v>0</v>
      </c>
      <c r="C17" s="160">
        <f>IF('Расчет ФОТ'!Y23&gt;0,'Расчет ФОТ'!Y23+IF('Расчет ФОТ'!D23='Расчет ФОТ'!$D$7,$G$60,SUMIF($B$45:$B$60,'Расчет ФОТ'!D23,$G$45:$G$60)),0)</f>
        <v>0</v>
      </c>
      <c r="D17" s="160">
        <f>C17*(1+Калькуляция!$C$70)</f>
        <v>0</v>
      </c>
      <c r="E17" s="160">
        <f>IF('Расчет ФОТ'!J23&gt;0,'Расчет ФОТ'!J23,0)</f>
        <v>0</v>
      </c>
      <c r="F17" s="160">
        <f t="shared" si="0"/>
        <v>0</v>
      </c>
      <c r="G17" s="160">
        <f t="shared" si="1"/>
        <v>0</v>
      </c>
      <c r="H17" s="160">
        <f>F17/Калькуляция!$F$9</f>
        <v>0</v>
      </c>
      <c r="I17" s="128">
        <f>G17/Калькуляция!$F$9</f>
        <v>0</v>
      </c>
    </row>
    <row r="18" spans="1:9" x14ac:dyDescent="0.2">
      <c r="A18" s="161">
        <f>'Расчет ФОТ'!B24</f>
        <v>0</v>
      </c>
      <c r="B18" s="159">
        <f>'Расчет ФОТ'!D24</f>
        <v>0</v>
      </c>
      <c r="C18" s="160">
        <f>IF('Расчет ФОТ'!Y24&gt;0,'Расчет ФОТ'!Y24+IF('Расчет ФОТ'!D24='Расчет ФОТ'!$D$7,$G$60,SUMIF($B$45:$B$60,'Расчет ФОТ'!D24,$G$45:$G$60)),0)</f>
        <v>0</v>
      </c>
      <c r="D18" s="160">
        <f>C18*(1+Калькуляция!$C$70)</f>
        <v>0</v>
      </c>
      <c r="E18" s="160">
        <f>IF('Расчет ФОТ'!J24&gt;0,'Расчет ФОТ'!J24,0)</f>
        <v>0</v>
      </c>
      <c r="F18" s="160">
        <f t="shared" si="0"/>
        <v>0</v>
      </c>
      <c r="G18" s="160">
        <f t="shared" si="1"/>
        <v>0</v>
      </c>
      <c r="H18" s="160">
        <f>F18/Калькуляция!$F$9</f>
        <v>0</v>
      </c>
      <c r="I18" s="128">
        <f>G18/Калькуляция!$F$9</f>
        <v>0</v>
      </c>
    </row>
    <row r="19" spans="1:9" x14ac:dyDescent="0.2">
      <c r="A19" s="161">
        <f>'Расчет ФОТ'!B25</f>
        <v>0</v>
      </c>
      <c r="B19" s="159">
        <f>'Расчет ФОТ'!D25</f>
        <v>0</v>
      </c>
      <c r="C19" s="160">
        <f>IF('Расчет ФОТ'!Y25&gt;0,'Расчет ФОТ'!Y25+IF('Расчет ФОТ'!D25='Расчет ФОТ'!$D$7,$G$60,SUMIF($B$45:$B$60,'Расчет ФОТ'!D25,$G$45:$G$60)),0)</f>
        <v>0</v>
      </c>
      <c r="D19" s="160">
        <f>C19*(1+Калькуляция!$C$70)</f>
        <v>0</v>
      </c>
      <c r="E19" s="160">
        <f>IF('Расчет ФОТ'!J25&gt;0,'Расчет ФОТ'!J25,0)</f>
        <v>0</v>
      </c>
      <c r="F19" s="160">
        <f t="shared" si="0"/>
        <v>0</v>
      </c>
      <c r="G19" s="160">
        <f t="shared" si="1"/>
        <v>0</v>
      </c>
      <c r="H19" s="160">
        <f>F19/Калькуляция!$F$9</f>
        <v>0</v>
      </c>
      <c r="I19" s="128">
        <f>G19/Калькуляция!$F$9</f>
        <v>0</v>
      </c>
    </row>
    <row r="20" spans="1:9" x14ac:dyDescent="0.2">
      <c r="A20" s="161">
        <f>'Расчет ФОТ'!B26</f>
        <v>0</v>
      </c>
      <c r="B20" s="159">
        <f>'Расчет ФОТ'!D26</f>
        <v>0</v>
      </c>
      <c r="C20" s="160">
        <f>IF('Расчет ФОТ'!Y26&gt;0,'Расчет ФОТ'!Y26+IF('Расчет ФОТ'!D26='Расчет ФОТ'!$D$7,$G$60,SUMIF($B$45:$B$60,'Расчет ФОТ'!D26,$G$45:$G$60)),0)</f>
        <v>0</v>
      </c>
      <c r="D20" s="160">
        <f>C20*(1+Калькуляция!$C$70)</f>
        <v>0</v>
      </c>
      <c r="E20" s="160">
        <f>IF('Расчет ФОТ'!J26&gt;0,'Расчет ФОТ'!J26,0)</f>
        <v>0</v>
      </c>
      <c r="F20" s="160">
        <f t="shared" ref="F20:F34" si="2">IF(E20&gt;0,E20*C20,0)</f>
        <v>0</v>
      </c>
      <c r="G20" s="160">
        <f t="shared" ref="G20:G34" si="3">IF(E20&gt;0,E20*D20,0)</f>
        <v>0</v>
      </c>
      <c r="H20" s="160">
        <f>F20/Калькуляция!$F$9</f>
        <v>0</v>
      </c>
      <c r="I20" s="128">
        <f>G20/Калькуляция!$F$9</f>
        <v>0</v>
      </c>
    </row>
    <row r="21" spans="1:9" x14ac:dyDescent="0.2">
      <c r="A21" s="161">
        <f>'Расчет ФОТ'!B27</f>
        <v>0</v>
      </c>
      <c r="B21" s="159">
        <f>'Расчет ФОТ'!D27</f>
        <v>0</v>
      </c>
      <c r="C21" s="160">
        <f>IF('Расчет ФОТ'!Y27&gt;0,'Расчет ФОТ'!Y27+IF('Расчет ФОТ'!D27='Расчет ФОТ'!$D$7,$G$60,SUMIF($B$45:$B$60,'Расчет ФОТ'!D27,$G$45:$G$60)),0)</f>
        <v>0</v>
      </c>
      <c r="D21" s="160">
        <f>C21*(1+Калькуляция!$C$70)</f>
        <v>0</v>
      </c>
      <c r="E21" s="160">
        <f>IF('Расчет ФОТ'!J27&gt;0,'Расчет ФОТ'!J27,0)</f>
        <v>0</v>
      </c>
      <c r="F21" s="160">
        <f t="shared" si="2"/>
        <v>0</v>
      </c>
      <c r="G21" s="160">
        <f t="shared" si="3"/>
        <v>0</v>
      </c>
      <c r="H21" s="160">
        <f>F21/Калькуляция!$F$9</f>
        <v>0</v>
      </c>
      <c r="I21" s="128">
        <f>G21/Калькуляция!$F$9</f>
        <v>0</v>
      </c>
    </row>
    <row r="22" spans="1:9" x14ac:dyDescent="0.2">
      <c r="A22" s="161">
        <f>'Расчет ФОТ'!B28</f>
        <v>0</v>
      </c>
      <c r="B22" s="159">
        <f>'Расчет ФОТ'!D28</f>
        <v>0</v>
      </c>
      <c r="C22" s="160">
        <f>IF('Расчет ФОТ'!Y28&gt;0,'Расчет ФОТ'!Y28+IF('Расчет ФОТ'!D28='Расчет ФОТ'!$D$7,$G$60,SUMIF($B$45:$B$60,'Расчет ФОТ'!D28,$G$45:$G$60)),0)</f>
        <v>0</v>
      </c>
      <c r="D22" s="160">
        <f>C22*(1+Калькуляция!$C$70)</f>
        <v>0</v>
      </c>
      <c r="E22" s="160">
        <f>IF('Расчет ФОТ'!J28&gt;0,'Расчет ФОТ'!J28,0)</f>
        <v>0</v>
      </c>
      <c r="F22" s="160">
        <f t="shared" si="2"/>
        <v>0</v>
      </c>
      <c r="G22" s="160">
        <f t="shared" si="3"/>
        <v>0</v>
      </c>
      <c r="H22" s="160">
        <f>F22/Калькуляция!$F$9</f>
        <v>0</v>
      </c>
      <c r="I22" s="128">
        <f>G22/Калькуляция!$F$9</f>
        <v>0</v>
      </c>
    </row>
    <row r="23" spans="1:9" x14ac:dyDescent="0.2">
      <c r="A23" s="161">
        <f>'Расчет ФОТ'!B29</f>
        <v>0</v>
      </c>
      <c r="B23" s="159">
        <f>'Расчет ФОТ'!D29</f>
        <v>0</v>
      </c>
      <c r="C23" s="160">
        <f>IF('Расчет ФОТ'!Y29&gt;0,'Расчет ФОТ'!Y29+IF('Расчет ФОТ'!D29='Расчет ФОТ'!$D$7,$G$60,SUMIF($B$45:$B$60,'Расчет ФОТ'!D29,$G$45:$G$60)),0)</f>
        <v>0</v>
      </c>
      <c r="D23" s="160">
        <f>C23*(1+Калькуляция!$C$70)</f>
        <v>0</v>
      </c>
      <c r="E23" s="160">
        <f>IF('Расчет ФОТ'!J29&gt;0,'Расчет ФОТ'!J29,0)</f>
        <v>0</v>
      </c>
      <c r="F23" s="160">
        <f t="shared" si="2"/>
        <v>0</v>
      </c>
      <c r="G23" s="160">
        <f t="shared" si="3"/>
        <v>0</v>
      </c>
      <c r="H23" s="160">
        <f>F23/Калькуляция!$F$9</f>
        <v>0</v>
      </c>
      <c r="I23" s="128">
        <f>G23/Калькуляция!$F$9</f>
        <v>0</v>
      </c>
    </row>
    <row r="24" spans="1:9" x14ac:dyDescent="0.2">
      <c r="A24" s="161">
        <f>'Расчет ФОТ'!B30</f>
        <v>0</v>
      </c>
      <c r="B24" s="159">
        <f>'Расчет ФОТ'!D30</f>
        <v>0</v>
      </c>
      <c r="C24" s="160">
        <f>IF('Расчет ФОТ'!Y30&gt;0,'Расчет ФОТ'!Y30+IF('Расчет ФОТ'!D30='Расчет ФОТ'!$D$7,$G$60,SUMIF($B$45:$B$60,'Расчет ФОТ'!D30,$G$45:$G$60)),0)</f>
        <v>0</v>
      </c>
      <c r="D24" s="160">
        <f>C24*(1+Калькуляция!$C$70)</f>
        <v>0</v>
      </c>
      <c r="E24" s="160">
        <f>IF('Расчет ФОТ'!J30&gt;0,'Расчет ФОТ'!J30,0)</f>
        <v>0</v>
      </c>
      <c r="F24" s="160">
        <f t="shared" si="2"/>
        <v>0</v>
      </c>
      <c r="G24" s="160">
        <f t="shared" si="3"/>
        <v>0</v>
      </c>
      <c r="H24" s="160">
        <f>F24/Калькуляция!$F$9</f>
        <v>0</v>
      </c>
      <c r="I24" s="128">
        <f>G24/Калькуляция!$F$9</f>
        <v>0</v>
      </c>
    </row>
    <row r="25" spans="1:9" x14ac:dyDescent="0.2">
      <c r="A25" s="161">
        <f>'Расчет ФОТ'!B31</f>
        <v>0</v>
      </c>
      <c r="B25" s="159">
        <f>'Расчет ФОТ'!D31</f>
        <v>0</v>
      </c>
      <c r="C25" s="160">
        <f>IF('Расчет ФОТ'!Y31&gt;0,'Расчет ФОТ'!Y31+IF('Расчет ФОТ'!D31='Расчет ФОТ'!$D$7,$G$60,SUMIF($B$45:$B$60,'Расчет ФОТ'!D31,$G$45:$G$60)),0)</f>
        <v>0</v>
      </c>
      <c r="D25" s="160">
        <f>C25*(1+Калькуляция!$C$70)</f>
        <v>0</v>
      </c>
      <c r="E25" s="160">
        <f>IF('Расчет ФОТ'!J31&gt;0,'Расчет ФОТ'!J31,0)</f>
        <v>0</v>
      </c>
      <c r="F25" s="160">
        <f t="shared" si="2"/>
        <v>0</v>
      </c>
      <c r="G25" s="160">
        <f t="shared" si="3"/>
        <v>0</v>
      </c>
      <c r="H25" s="160">
        <f>F25/Калькуляция!$F$9</f>
        <v>0</v>
      </c>
      <c r="I25" s="128">
        <f>G25/Калькуляция!$F$9</f>
        <v>0</v>
      </c>
    </row>
    <row r="26" spans="1:9" x14ac:dyDescent="0.2">
      <c r="A26" s="161">
        <f>'Расчет ФОТ'!B32</f>
        <v>0</v>
      </c>
      <c r="B26" s="159">
        <f>'Расчет ФОТ'!D32</f>
        <v>0</v>
      </c>
      <c r="C26" s="160">
        <f>IF('Расчет ФОТ'!Y32&gt;0,'Расчет ФОТ'!Y32+IF('Расчет ФОТ'!D32='Расчет ФОТ'!$D$7,$G$60,SUMIF($B$45:$B$60,'Расчет ФОТ'!D32,$G$45:$G$60)),0)</f>
        <v>0</v>
      </c>
      <c r="D26" s="160">
        <f>C26*(1+Калькуляция!$C$70)</f>
        <v>0</v>
      </c>
      <c r="E26" s="160">
        <f>IF('Расчет ФОТ'!J32&gt;0,'Расчет ФОТ'!J32,0)</f>
        <v>0</v>
      </c>
      <c r="F26" s="160">
        <f t="shared" si="2"/>
        <v>0</v>
      </c>
      <c r="G26" s="160">
        <f t="shared" si="3"/>
        <v>0</v>
      </c>
      <c r="H26" s="160">
        <f>F26/Калькуляция!$F$9</f>
        <v>0</v>
      </c>
      <c r="I26" s="128">
        <f>G26/Калькуляция!$F$9</f>
        <v>0</v>
      </c>
    </row>
    <row r="27" spans="1:9" x14ac:dyDescent="0.2">
      <c r="A27" s="161">
        <f>'Расчет ФОТ'!B33</f>
        <v>0</v>
      </c>
      <c r="B27" s="159">
        <f>'Расчет ФОТ'!D33</f>
        <v>0</v>
      </c>
      <c r="C27" s="160">
        <f>IF('Расчет ФОТ'!Y33&gt;0,'Расчет ФОТ'!Y33+IF('Расчет ФОТ'!D33='Расчет ФОТ'!$D$7,$G$60,SUMIF($B$45:$B$60,'Расчет ФОТ'!D33,$G$45:$G$60)),0)</f>
        <v>0</v>
      </c>
      <c r="D27" s="160">
        <f>C27*(1+Калькуляция!$C$70)</f>
        <v>0</v>
      </c>
      <c r="E27" s="160">
        <f>IF('Расчет ФОТ'!J33&gt;0,'Расчет ФОТ'!J33,0)</f>
        <v>0</v>
      </c>
      <c r="F27" s="160">
        <f t="shared" si="2"/>
        <v>0</v>
      </c>
      <c r="G27" s="160">
        <f t="shared" si="3"/>
        <v>0</v>
      </c>
      <c r="H27" s="160">
        <f>F27/Калькуляция!$F$9</f>
        <v>0</v>
      </c>
      <c r="I27" s="128">
        <f>G27/Калькуляция!$F$9</f>
        <v>0</v>
      </c>
    </row>
    <row r="28" spans="1:9" x14ac:dyDescent="0.2">
      <c r="A28" s="161">
        <f>'Расчет ФОТ'!B34</f>
        <v>0</v>
      </c>
      <c r="B28" s="159">
        <f>'Расчет ФОТ'!D34</f>
        <v>0</v>
      </c>
      <c r="C28" s="160">
        <f>IF('Расчет ФОТ'!Y34&gt;0,'Расчет ФОТ'!Y34+IF('Расчет ФОТ'!D34='Расчет ФОТ'!$D$7,$G$60,SUMIF($B$45:$B$60,'Расчет ФОТ'!D34,$G$45:$G$60)),0)</f>
        <v>0</v>
      </c>
      <c r="D28" s="160">
        <f>C28*(1+Калькуляция!$C$70)</f>
        <v>0</v>
      </c>
      <c r="E28" s="160">
        <f>IF('Расчет ФОТ'!J34&gt;0,'Расчет ФОТ'!J34,0)</f>
        <v>0</v>
      </c>
      <c r="F28" s="160">
        <f t="shared" si="2"/>
        <v>0</v>
      </c>
      <c r="G28" s="160">
        <f t="shared" si="3"/>
        <v>0</v>
      </c>
      <c r="H28" s="160">
        <f>F28/Калькуляция!$F$9</f>
        <v>0</v>
      </c>
      <c r="I28" s="128">
        <f>G28/Калькуляция!$F$9</f>
        <v>0</v>
      </c>
    </row>
    <row r="29" spans="1:9" x14ac:dyDescent="0.2">
      <c r="A29" s="161">
        <f>'Расчет ФОТ'!B35</f>
        <v>0</v>
      </c>
      <c r="B29" s="159">
        <f>'Расчет ФОТ'!D35</f>
        <v>0</v>
      </c>
      <c r="C29" s="160">
        <f>IF('Расчет ФОТ'!Y35&gt;0,'Расчет ФОТ'!Y35+IF('Расчет ФОТ'!D35='Расчет ФОТ'!$D$7,$G$60,SUMIF($B$45:$B$60,'Расчет ФОТ'!D35,$G$45:$G$60)),0)</f>
        <v>0</v>
      </c>
      <c r="D29" s="160">
        <f>C29*(1+Калькуляция!$C$70)</f>
        <v>0</v>
      </c>
      <c r="E29" s="160">
        <f>IF('Расчет ФОТ'!J35&gt;0,'Расчет ФОТ'!J35,0)</f>
        <v>0</v>
      </c>
      <c r="F29" s="160">
        <f t="shared" si="2"/>
        <v>0</v>
      </c>
      <c r="G29" s="160">
        <f t="shared" si="3"/>
        <v>0</v>
      </c>
      <c r="H29" s="160">
        <f>F29/Калькуляция!$F$9</f>
        <v>0</v>
      </c>
      <c r="I29" s="128">
        <f>G29/Калькуляция!$F$9</f>
        <v>0</v>
      </c>
    </row>
    <row r="30" spans="1:9" x14ac:dyDescent="0.2">
      <c r="A30" s="161">
        <f>'Расчет ФОТ'!B36</f>
        <v>0</v>
      </c>
      <c r="B30" s="159">
        <f>'Расчет ФОТ'!D36</f>
        <v>0</v>
      </c>
      <c r="C30" s="160">
        <f>IF('Расчет ФОТ'!Y36&gt;0,'Расчет ФОТ'!Y36+IF('Расчет ФОТ'!D36='Расчет ФОТ'!$D$7,$G$60,SUMIF($B$45:$B$60,'Расчет ФОТ'!D36,$G$45:$G$60)),0)</f>
        <v>0</v>
      </c>
      <c r="D30" s="160">
        <f>C30*(1+Калькуляция!$C$70)</f>
        <v>0</v>
      </c>
      <c r="E30" s="160">
        <f>IF('Расчет ФОТ'!J36&gt;0,'Расчет ФОТ'!J36,0)</f>
        <v>0</v>
      </c>
      <c r="F30" s="160">
        <f t="shared" si="2"/>
        <v>0</v>
      </c>
      <c r="G30" s="160">
        <f t="shared" si="3"/>
        <v>0</v>
      </c>
      <c r="H30" s="160">
        <f>F30/Калькуляция!$F$9</f>
        <v>0</v>
      </c>
      <c r="I30" s="128">
        <f>G30/Калькуляция!$F$9</f>
        <v>0</v>
      </c>
    </row>
    <row r="31" spans="1:9" x14ac:dyDescent="0.2">
      <c r="A31" s="161">
        <f>'Расчет ФОТ'!B37</f>
        <v>0</v>
      </c>
      <c r="B31" s="159">
        <f>'Расчет ФОТ'!D37</f>
        <v>0</v>
      </c>
      <c r="C31" s="160">
        <f>IF('Расчет ФОТ'!Y37&gt;0,'Расчет ФОТ'!Y37+IF('Расчет ФОТ'!D37='Расчет ФОТ'!$D$7,$G$60,SUMIF($B$45:$B$60,'Расчет ФОТ'!D37,$G$45:$G$60)),0)</f>
        <v>0</v>
      </c>
      <c r="D31" s="160">
        <f>C31*(1+Калькуляция!$C$70)</f>
        <v>0</v>
      </c>
      <c r="E31" s="160">
        <f>IF('Расчет ФОТ'!J37&gt;0,'Расчет ФОТ'!J37,0)</f>
        <v>0</v>
      </c>
      <c r="F31" s="160">
        <f t="shared" si="2"/>
        <v>0</v>
      </c>
      <c r="G31" s="160">
        <f t="shared" si="3"/>
        <v>0</v>
      </c>
      <c r="H31" s="160">
        <f>F31/Калькуляция!$F$9</f>
        <v>0</v>
      </c>
      <c r="I31" s="128">
        <f>G31/Калькуляция!$F$9</f>
        <v>0</v>
      </c>
    </row>
    <row r="32" spans="1:9" x14ac:dyDescent="0.2">
      <c r="A32" s="161">
        <f>'Расчет ФОТ'!B38</f>
        <v>0</v>
      </c>
      <c r="B32" s="159">
        <f>'Расчет ФОТ'!D38</f>
        <v>0</v>
      </c>
      <c r="C32" s="160">
        <f>IF('Расчет ФОТ'!Y38&gt;0,'Расчет ФОТ'!Y38+IF('Расчет ФОТ'!D38='Расчет ФОТ'!$D$7,$G$60,SUMIF($B$45:$B$60,'Расчет ФОТ'!D38,$G$45:$G$60)),0)</f>
        <v>0</v>
      </c>
      <c r="D32" s="160">
        <f>C32*(1+Калькуляция!$C$70)</f>
        <v>0</v>
      </c>
      <c r="E32" s="160">
        <f>IF('Расчет ФОТ'!J38&gt;0,'Расчет ФОТ'!J38,0)</f>
        <v>0</v>
      </c>
      <c r="F32" s="160">
        <f t="shared" si="2"/>
        <v>0</v>
      </c>
      <c r="G32" s="160">
        <f t="shared" si="3"/>
        <v>0</v>
      </c>
      <c r="H32" s="160">
        <f>F32/Калькуляция!$F$9</f>
        <v>0</v>
      </c>
      <c r="I32" s="128">
        <f>G32/Калькуляция!$F$9</f>
        <v>0</v>
      </c>
    </row>
    <row r="33" spans="1:9" x14ac:dyDescent="0.2">
      <c r="A33" s="161">
        <f>'Расчет ФОТ'!B39</f>
        <v>0</v>
      </c>
      <c r="B33" s="159">
        <f>'Расчет ФОТ'!D39</f>
        <v>0</v>
      </c>
      <c r="C33" s="160">
        <f>IF('Расчет ФОТ'!Y39&gt;0,'Расчет ФОТ'!Y39+IF('Расчет ФОТ'!D39='Расчет ФОТ'!$D$7,$G$60,SUMIF($B$45:$B$60,'Расчет ФОТ'!D39,$G$45:$G$60)),0)</f>
        <v>0</v>
      </c>
      <c r="D33" s="160">
        <f>C33*(1+Калькуляция!$C$70)</f>
        <v>0</v>
      </c>
      <c r="E33" s="160">
        <f>IF('Расчет ФОТ'!J39&gt;0,'Расчет ФОТ'!J39,0)</f>
        <v>0</v>
      </c>
      <c r="F33" s="160">
        <f t="shared" si="2"/>
        <v>0</v>
      </c>
      <c r="G33" s="160">
        <f t="shared" si="3"/>
        <v>0</v>
      </c>
      <c r="H33" s="160">
        <f>F33/Калькуляция!$F$9</f>
        <v>0</v>
      </c>
      <c r="I33" s="128">
        <f>G33/Калькуляция!$F$9</f>
        <v>0</v>
      </c>
    </row>
    <row r="34" spans="1:9" x14ac:dyDescent="0.2">
      <c r="A34" s="161">
        <f>'Расчет ФОТ'!B40</f>
        <v>0</v>
      </c>
      <c r="B34" s="159">
        <f>'Расчет ФОТ'!D40</f>
        <v>0</v>
      </c>
      <c r="C34" s="160">
        <f>IF('Расчет ФОТ'!Y40&gt;0,'Расчет ФОТ'!Y40+IF('Расчет ФОТ'!D40='Расчет ФОТ'!$D$7,$G$60,SUMIF($B$45:$B$60,'Расчет ФОТ'!D40,$G$45:$G$60)),0)</f>
        <v>0</v>
      </c>
      <c r="D34" s="160">
        <f>C34*(1+Калькуляция!$C$70)</f>
        <v>0</v>
      </c>
      <c r="E34" s="160">
        <f>IF('Расчет ФОТ'!J40&gt;0,'Расчет ФОТ'!J40,0)</f>
        <v>0</v>
      </c>
      <c r="F34" s="160">
        <f t="shared" si="2"/>
        <v>0</v>
      </c>
      <c r="G34" s="160">
        <f t="shared" si="3"/>
        <v>0</v>
      </c>
      <c r="H34" s="160">
        <f>F34/Калькуляция!$F$9</f>
        <v>0</v>
      </c>
      <c r="I34" s="128">
        <f>G34/Калькуляция!$F$9</f>
        <v>0</v>
      </c>
    </row>
    <row r="35" spans="1:9" x14ac:dyDescent="0.2">
      <c r="A35" s="161">
        <f>'Расчет ФОТ'!B41</f>
        <v>0</v>
      </c>
      <c r="B35" s="159">
        <f>'Расчет ФОТ'!D41</f>
        <v>0</v>
      </c>
      <c r="C35" s="160">
        <f>IF('Расчет ФОТ'!Y41&gt;0,'Расчет ФОТ'!Y41+IF('Расчет ФОТ'!D41='Расчет ФОТ'!$D$7,$G$60,SUMIF($B$45:$B$60,'Расчет ФОТ'!D41,$G$45:$G$60)),0)</f>
        <v>0</v>
      </c>
      <c r="D35" s="160">
        <f>C35*(1+Калькуляция!$C$70)</f>
        <v>0</v>
      </c>
      <c r="E35" s="160">
        <f>IF('Расчет ФОТ'!J41&gt;0,'Расчет ФОТ'!J41,0)</f>
        <v>0</v>
      </c>
      <c r="F35" s="160">
        <f t="shared" si="0"/>
        <v>0</v>
      </c>
      <c r="G35" s="160">
        <f t="shared" si="1"/>
        <v>0</v>
      </c>
      <c r="H35" s="160">
        <f>F35/Калькуляция!$F$9</f>
        <v>0</v>
      </c>
      <c r="I35" s="128">
        <f>G35/Калькуляция!$F$9</f>
        <v>0</v>
      </c>
    </row>
    <row r="36" spans="1:9" x14ac:dyDescent="0.2">
      <c r="A36" s="161">
        <f>'Расчет ФОТ'!B42</f>
        <v>0</v>
      </c>
      <c r="B36" s="159">
        <f>'Расчет ФОТ'!D42</f>
        <v>0</v>
      </c>
      <c r="C36" s="160">
        <f>IF('Расчет ФОТ'!Y42&gt;0,'Расчет ФОТ'!Y42+IF('Расчет ФОТ'!D42='Расчет ФОТ'!$D$7,$G$60,SUMIF($B$45:$B$60,'Расчет ФОТ'!D42,$G$45:$G$60)),0)</f>
        <v>0</v>
      </c>
      <c r="D36" s="160">
        <f>C36*(1+Калькуляция!$C$70)</f>
        <v>0</v>
      </c>
      <c r="E36" s="160">
        <f>IF('Расчет ФОТ'!J42&gt;0,'Расчет ФОТ'!J42,0)</f>
        <v>0</v>
      </c>
      <c r="F36" s="160">
        <f t="shared" si="0"/>
        <v>0</v>
      </c>
      <c r="G36" s="160">
        <f t="shared" si="1"/>
        <v>0</v>
      </c>
      <c r="H36" s="160">
        <f>F36/Калькуляция!$F$9</f>
        <v>0</v>
      </c>
      <c r="I36" s="128">
        <f>G36/Калькуляция!$F$9</f>
        <v>0</v>
      </c>
    </row>
    <row r="37" spans="1:9" ht="17" thickBot="1" x14ac:dyDescent="0.25">
      <c r="A37" s="162">
        <f>'Расчет ФОТ'!B43</f>
        <v>0</v>
      </c>
      <c r="B37" s="163">
        <f>'Расчет ФОТ'!D43</f>
        <v>0</v>
      </c>
      <c r="C37" s="164">
        <f>IF('Расчет ФОТ'!Y43&gt;0,'Расчет ФОТ'!Y43+IF('Расчет ФОТ'!D43='Расчет ФОТ'!$D$7,$G$60,SUMIF($B$45:$B$60,'Расчет ФОТ'!D43,$G$45:$G$60)),0)</f>
        <v>0</v>
      </c>
      <c r="D37" s="164">
        <f>C37*(1+Калькуляция!$C$70)</f>
        <v>0</v>
      </c>
      <c r="E37" s="164">
        <f>IF('Расчет ФОТ'!J43&gt;0,'Расчет ФОТ'!J43,0)</f>
        <v>0</v>
      </c>
      <c r="F37" s="164">
        <f t="shared" si="0"/>
        <v>0</v>
      </c>
      <c r="G37" s="164">
        <f t="shared" si="1"/>
        <v>0</v>
      </c>
      <c r="H37" s="164">
        <f>F37/Калькуляция!$F$9</f>
        <v>0</v>
      </c>
      <c r="I37" s="138">
        <f>G37/Калькуляция!$F$9</f>
        <v>0</v>
      </c>
    </row>
    <row r="38" spans="1:9" ht="17" thickBot="1" x14ac:dyDescent="0.25"/>
    <row r="39" spans="1:9" ht="17" thickBot="1" x14ac:dyDescent="0.25">
      <c r="E39" s="165">
        <f>SUM(E3:E37)</f>
        <v>37591.839999999997</v>
      </c>
      <c r="F39" s="166">
        <f t="shared" ref="F39:I39" si="4">SUM(F3:F37)</f>
        <v>19664688.876249865</v>
      </c>
      <c r="G39" s="166">
        <f t="shared" si="4"/>
        <v>23597626.651499834</v>
      </c>
      <c r="H39" s="166">
        <f t="shared" si="4"/>
        <v>1638724.0730208221</v>
      </c>
      <c r="I39" s="167">
        <f t="shared" si="4"/>
        <v>1966468.8876249862</v>
      </c>
    </row>
    <row r="41" spans="1:9" x14ac:dyDescent="0.2">
      <c r="G41" s="46"/>
      <c r="H41" s="46"/>
      <c r="I41" s="46"/>
    </row>
    <row r="43" spans="1:9" x14ac:dyDescent="0.2">
      <c r="C43" s="171"/>
    </row>
    <row r="44" spans="1:9" ht="34" x14ac:dyDescent="0.2">
      <c r="B44" s="153"/>
      <c r="C44" s="14" t="s">
        <v>267</v>
      </c>
      <c r="D44" s="7" t="s">
        <v>268</v>
      </c>
      <c r="E44" s="14" t="s">
        <v>269</v>
      </c>
      <c r="F44" s="14" t="s">
        <v>270</v>
      </c>
      <c r="G44" s="14" t="s">
        <v>271</v>
      </c>
    </row>
    <row r="45" spans="1:9" x14ac:dyDescent="0.2">
      <c r="B45" s="156" t="str">
        <f>'Расчет ФОТ'!B46</f>
        <v>Управление объектом</v>
      </c>
      <c r="C45" s="154">
        <f>IF(D45&gt;0,SUMIF(Калькуляция!$D$17:$D$62,B45,Калькуляция!$H$17:$H$62),0)</f>
        <v>0</v>
      </c>
      <c r="D45" s="154">
        <f>SUMIF('Расчет ФОТ'!$D$9:$D$43,B45,'Расчет ФОТ'!$J$9:$J$43)</f>
        <v>1971.84</v>
      </c>
      <c r="E45" s="154">
        <f>IF(D45&gt;0,C45/D45,0)</f>
        <v>0</v>
      </c>
      <c r="F45" s="154">
        <f>(SUM(Калькуляция!H48,Калькуляция!H55:H62,Калькуляция!H64:H65,Калькуляция!H67)+$C$61)/'Расчет ФОТ'!J7</f>
        <v>102.70874284235343</v>
      </c>
      <c r="G45" s="154">
        <f>SUM(E45:F45)</f>
        <v>102.70874284235343</v>
      </c>
    </row>
    <row r="46" spans="1:9" x14ac:dyDescent="0.2">
      <c r="B46" s="156" t="str">
        <f>'Расчет ФОТ'!B47</f>
        <v>Уборка внутренних помещений (ОВУ)</v>
      </c>
      <c r="C46" s="154">
        <f>IF(D46&gt;0,SUMIF(Калькуляция!$D$17:$D$62,B46,Калькуляция!$H$17:$H$62),0)</f>
        <v>555000</v>
      </c>
      <c r="D46" s="154">
        <f>SUMIF('Расчет ФОТ'!$D$9:$D$43,B46,'Расчет ФОТ'!$J$9:$J$43)</f>
        <v>15600</v>
      </c>
      <c r="E46" s="154">
        <f t="shared" ref="E46:E60" si="5">IF(D46&gt;0,C46/D46,0)</f>
        <v>35.57692307692308</v>
      </c>
      <c r="F46" s="154">
        <f>F45</f>
        <v>102.70874284235343</v>
      </c>
      <c r="G46" s="154">
        <f t="shared" ref="G46:G60" si="6">SUM(E46:F46)</f>
        <v>138.28566591927651</v>
      </c>
    </row>
    <row r="47" spans="1:9" x14ac:dyDescent="0.2">
      <c r="B47" s="156" t="str">
        <f>'Расчет ФОТ'!B48</f>
        <v>Уборка внутренних помещений (ОПМ)</v>
      </c>
      <c r="C47" s="154">
        <f>IF(D47&gt;0,SUMIF(Калькуляция!$D$17:$D$62,B47,Калькуляция!$H$17:$H$62),0)</f>
        <v>180000</v>
      </c>
      <c r="D47" s="154">
        <f>SUMIF('Расчет ФОТ'!$D$9:$D$43,B47,'Расчет ФОТ'!$J$9:$J$43)</f>
        <v>9360</v>
      </c>
      <c r="E47" s="154">
        <f t="shared" si="5"/>
        <v>19.23076923076923</v>
      </c>
      <c r="F47" s="154">
        <f t="shared" ref="F47:F59" si="7">F46</f>
        <v>102.70874284235343</v>
      </c>
      <c r="G47" s="154">
        <f t="shared" si="6"/>
        <v>121.93951207312266</v>
      </c>
    </row>
    <row r="48" spans="1:9" x14ac:dyDescent="0.2">
      <c r="B48" s="156" t="str">
        <f>'Расчет ФОТ'!B49</f>
        <v>Сбор тележек</v>
      </c>
      <c r="C48" s="154">
        <f>IF(D48&gt;0,SUMIF(Калькуляция!$D$17:$D$62,B48,Калькуляция!$H$17:$H$62),0)</f>
        <v>7000</v>
      </c>
      <c r="D48" s="154">
        <f>SUMIF('Расчет ФОТ'!$D$9:$D$43,B48,'Расчет ФОТ'!$J$9:$J$43)</f>
        <v>3120</v>
      </c>
      <c r="E48" s="154">
        <f t="shared" si="5"/>
        <v>2.2435897435897436</v>
      </c>
      <c r="F48" s="154">
        <f t="shared" si="7"/>
        <v>102.70874284235343</v>
      </c>
      <c r="G48" s="154">
        <f t="shared" si="6"/>
        <v>104.95233258594317</v>
      </c>
    </row>
    <row r="49" spans="2:7" x14ac:dyDescent="0.2">
      <c r="B49" s="156" t="str">
        <f>'Расчет ФОТ'!B50</f>
        <v>Уборка внешней территории (ОВнУ)</v>
      </c>
      <c r="C49" s="154">
        <f>IF(D49&gt;0,SUMIF(Калькуляция!$D$17:$D$62,B49,Калькуляция!$H$17:$H$62),0)</f>
        <v>230000</v>
      </c>
      <c r="D49" s="154">
        <f>SUMIF('Расчет ФОТ'!$D$9:$D$43,B49,'Расчет ФОТ'!$J$9:$J$43)</f>
        <v>6240</v>
      </c>
      <c r="E49" s="154">
        <f t="shared" si="5"/>
        <v>36.858974358974358</v>
      </c>
      <c r="F49" s="154">
        <f t="shared" si="7"/>
        <v>102.70874284235343</v>
      </c>
      <c r="G49" s="154">
        <f t="shared" si="6"/>
        <v>139.56771720132778</v>
      </c>
    </row>
    <row r="50" spans="2:7" x14ac:dyDescent="0.2">
      <c r="B50" s="156" t="str">
        <f>'Расчет ФОТ'!B51</f>
        <v>Уборка внешней территории с помощью трактора</v>
      </c>
      <c r="C50" s="154">
        <f>IF(D50&gt;0,SUMIF(Калькуляция!$D$17:$D$62,B50,Калькуляция!$H$17:$H$62),0)</f>
        <v>257142.85714285713</v>
      </c>
      <c r="D50" s="154">
        <f>SUMIF('Расчет ФОТ'!$D$9:$D$43,B50,'Расчет ФОТ'!$J$9:$J$43)</f>
        <v>1300</v>
      </c>
      <c r="E50" s="154">
        <f t="shared" si="5"/>
        <v>197.80219780219778</v>
      </c>
      <c r="F50" s="154">
        <f t="shared" si="7"/>
        <v>102.70874284235343</v>
      </c>
      <c r="G50" s="154">
        <f t="shared" si="6"/>
        <v>300.51094064455123</v>
      </c>
    </row>
    <row r="51" spans="2:7" x14ac:dyDescent="0.2">
      <c r="B51" s="156" t="str">
        <f>'Расчет ФОТ'!B52</f>
        <v>Категория 7</v>
      </c>
      <c r="C51" s="154">
        <f>IF(D51&gt;0,SUMIF(Калькуляция!$D$17:$D$62,B51,Калькуляция!$H$17:$H$62),0)</f>
        <v>0</v>
      </c>
      <c r="D51" s="154">
        <f>SUMIF('Расчет ФОТ'!$D$9:$D$43,B51,'Расчет ФОТ'!$J$9:$J$43)</f>
        <v>0</v>
      </c>
      <c r="E51" s="154">
        <f t="shared" si="5"/>
        <v>0</v>
      </c>
      <c r="F51" s="154">
        <f t="shared" si="7"/>
        <v>102.70874284235343</v>
      </c>
      <c r="G51" s="154">
        <f t="shared" si="6"/>
        <v>102.70874284235343</v>
      </c>
    </row>
    <row r="52" spans="2:7" x14ac:dyDescent="0.2">
      <c r="B52" s="156" t="str">
        <f>'Расчет ФОТ'!B53</f>
        <v>Категория 8</v>
      </c>
      <c r="C52" s="154">
        <f>IF(D52&gt;0,SUMIF(Калькуляция!$D$17:$D$62,B52,Калькуляция!$H$17:$H$62),0)</f>
        <v>0</v>
      </c>
      <c r="D52" s="154">
        <f>SUMIF('Расчет ФОТ'!$D$9:$D$43,B52,'Расчет ФОТ'!$J$9:$J$43)</f>
        <v>0</v>
      </c>
      <c r="E52" s="154">
        <f t="shared" si="5"/>
        <v>0</v>
      </c>
      <c r="F52" s="154">
        <f t="shared" si="7"/>
        <v>102.70874284235343</v>
      </c>
      <c r="G52" s="154">
        <f t="shared" si="6"/>
        <v>102.70874284235343</v>
      </c>
    </row>
    <row r="53" spans="2:7" x14ac:dyDescent="0.2">
      <c r="B53" s="156" t="str">
        <f>'Расчет ФОТ'!B54</f>
        <v>Категория 9</v>
      </c>
      <c r="C53" s="154">
        <f>IF(D53&gt;0,SUMIF(Калькуляция!$D$17:$D$62,B53,Калькуляция!$H$17:$H$62),0)</f>
        <v>0</v>
      </c>
      <c r="D53" s="154">
        <f>SUMIF('Расчет ФОТ'!$D$9:$D$43,B53,'Расчет ФОТ'!$J$9:$J$43)</f>
        <v>0</v>
      </c>
      <c r="E53" s="154">
        <f t="shared" si="5"/>
        <v>0</v>
      </c>
      <c r="F53" s="154">
        <f t="shared" si="7"/>
        <v>102.70874284235343</v>
      </c>
      <c r="G53" s="154">
        <f t="shared" si="6"/>
        <v>102.70874284235343</v>
      </c>
    </row>
    <row r="54" spans="2:7" x14ac:dyDescent="0.2">
      <c r="B54" s="156" t="str">
        <f>'Расчет ФОТ'!B55</f>
        <v>Категория 10</v>
      </c>
      <c r="C54" s="154">
        <f>IF(D54&gt;0,SUMIF(Калькуляция!$D$17:$D$62,B54,Калькуляция!$H$17:$H$62),0)</f>
        <v>0</v>
      </c>
      <c r="D54" s="154">
        <f>SUMIF('Расчет ФОТ'!$D$9:$D$43,B54,'Расчет ФОТ'!$J$9:$J$43)</f>
        <v>0</v>
      </c>
      <c r="E54" s="154">
        <f t="shared" si="5"/>
        <v>0</v>
      </c>
      <c r="F54" s="154">
        <f t="shared" si="7"/>
        <v>102.70874284235343</v>
      </c>
      <c r="G54" s="154">
        <f t="shared" si="6"/>
        <v>102.70874284235343</v>
      </c>
    </row>
    <row r="55" spans="2:7" x14ac:dyDescent="0.2">
      <c r="B55" s="156" t="str">
        <f>'Расчет ФОТ'!B56</f>
        <v>Категория 11</v>
      </c>
      <c r="C55" s="154">
        <f>IF(D55&gt;0,SUMIF(Калькуляция!$D$17:$D$62,B55,Калькуляция!$H$17:$H$62),0)</f>
        <v>0</v>
      </c>
      <c r="D55" s="154">
        <f>SUMIF('Расчет ФОТ'!$D$9:$D$43,B55,'Расчет ФОТ'!$J$9:$J$43)</f>
        <v>0</v>
      </c>
      <c r="E55" s="154">
        <f t="shared" si="5"/>
        <v>0</v>
      </c>
      <c r="F55" s="154">
        <f t="shared" si="7"/>
        <v>102.70874284235343</v>
      </c>
      <c r="G55" s="154">
        <f t="shared" si="6"/>
        <v>102.70874284235343</v>
      </c>
    </row>
    <row r="56" spans="2:7" x14ac:dyDescent="0.2">
      <c r="B56" s="156" t="str">
        <f>'Расчет ФОТ'!B57</f>
        <v>Категория 12</v>
      </c>
      <c r="C56" s="154">
        <f>IF(D56&gt;0,SUMIF(Калькуляция!$D$17:$D$62,B56,Калькуляция!$H$17:$H$62),0)</f>
        <v>0</v>
      </c>
      <c r="D56" s="154">
        <f>SUMIF('Расчет ФОТ'!$D$9:$D$43,B56,'Расчет ФОТ'!$J$9:$J$43)</f>
        <v>0</v>
      </c>
      <c r="E56" s="154">
        <f t="shared" si="5"/>
        <v>0</v>
      </c>
      <c r="F56" s="154">
        <f t="shared" si="7"/>
        <v>102.70874284235343</v>
      </c>
      <c r="G56" s="154">
        <f t="shared" si="6"/>
        <v>102.70874284235343</v>
      </c>
    </row>
    <row r="57" spans="2:7" x14ac:dyDescent="0.2">
      <c r="B57" s="156" t="str">
        <f>'Расчет ФОТ'!B58</f>
        <v>Категория 13</v>
      </c>
      <c r="C57" s="154">
        <f>IF(D57&gt;0,SUMIF(Калькуляция!$D$17:$D$62,B57,Калькуляция!$H$17:$H$62),0)</f>
        <v>0</v>
      </c>
      <c r="D57" s="154">
        <f>SUMIF('Расчет ФОТ'!$D$9:$D$43,B57,'Расчет ФОТ'!$J$9:$J$43)</f>
        <v>0</v>
      </c>
      <c r="E57" s="154">
        <f t="shared" si="5"/>
        <v>0</v>
      </c>
      <c r="F57" s="154">
        <f t="shared" si="7"/>
        <v>102.70874284235343</v>
      </c>
      <c r="G57" s="154">
        <f t="shared" si="6"/>
        <v>102.70874284235343</v>
      </c>
    </row>
    <row r="58" spans="2:7" x14ac:dyDescent="0.2">
      <c r="B58" s="156" t="str">
        <f>'Расчет ФОТ'!B59</f>
        <v>Категория 14</v>
      </c>
      <c r="C58" s="154">
        <f>IF(D58&gt;0,SUMIF(Калькуляция!$D$17:$D$62,B58,Калькуляция!$H$17:$H$62),0)</f>
        <v>0</v>
      </c>
      <c r="D58" s="154">
        <f>SUMIF('Расчет ФОТ'!$D$9:$D$43,B58,'Расчет ФОТ'!$J$9:$J$43)</f>
        <v>0</v>
      </c>
      <c r="E58" s="154">
        <f t="shared" si="5"/>
        <v>0</v>
      </c>
      <c r="F58" s="154">
        <f t="shared" si="7"/>
        <v>102.70874284235343</v>
      </c>
      <c r="G58" s="154">
        <f t="shared" si="6"/>
        <v>102.70874284235343</v>
      </c>
    </row>
    <row r="59" spans="2:7" x14ac:dyDescent="0.2">
      <c r="B59" s="156" t="str">
        <f>'Расчет ФОТ'!B60</f>
        <v>Категория 15</v>
      </c>
      <c r="C59" s="154">
        <f>IF(D59&gt;0,SUMIF(Калькуляция!$D$17:$D$62,B59,Калькуляция!$H$17:$H$62),0)</f>
        <v>0</v>
      </c>
      <c r="D59" s="154">
        <f>SUMIF('Расчет ФОТ'!$D$9:$D$43,B59,'Расчет ФОТ'!$J$9:$J$43)</f>
        <v>0</v>
      </c>
      <c r="E59" s="154">
        <f t="shared" si="5"/>
        <v>0</v>
      </c>
      <c r="F59" s="154">
        <f t="shared" si="7"/>
        <v>102.70874284235343</v>
      </c>
      <c r="G59" s="154">
        <f t="shared" si="6"/>
        <v>102.70874284235343</v>
      </c>
    </row>
    <row r="60" spans="2:7" x14ac:dyDescent="0.2">
      <c r="B60" s="156" t="s">
        <v>227</v>
      </c>
      <c r="C60" s="124">
        <f>SUM(Калькуляция!H16,Калькуляция!H21,Калькуляция!H30,Калькуляция!H39,Калькуляция!H49)-SUM(C45:C59)</f>
        <v>1000000.0000000002</v>
      </c>
      <c r="D60" s="155">
        <f>'Расчет ФОТ'!J7-SUM(D45:D59)</f>
        <v>0</v>
      </c>
      <c r="E60" s="154">
        <f t="shared" si="5"/>
        <v>0</v>
      </c>
      <c r="F60" s="155">
        <f>F59</f>
        <v>102.70874284235343</v>
      </c>
      <c r="G60" s="154">
        <f t="shared" si="6"/>
        <v>102.70874284235343</v>
      </c>
    </row>
    <row r="61" spans="2:7" x14ac:dyDescent="0.2">
      <c r="B61" s="156" t="s">
        <v>226</v>
      </c>
      <c r="C61" s="124">
        <f>IF(D60=0,C60,0)</f>
        <v>1000000.0000000002</v>
      </c>
      <c r="D61" s="7"/>
      <c r="E61" s="7"/>
      <c r="F61" s="7"/>
      <c r="G61" s="7"/>
    </row>
    <row r="65" spans="8:8" x14ac:dyDescent="0.2">
      <c r="H65" s="4"/>
    </row>
    <row r="66" spans="8:8" x14ac:dyDescent="0.2">
      <c r="H66" s="152"/>
    </row>
    <row r="67" spans="8:8" x14ac:dyDescent="0.2">
      <c r="H67" s="152"/>
    </row>
    <row r="68" spans="8:8" x14ac:dyDescent="0.2">
      <c r="H68" s="152"/>
    </row>
    <row r="69" spans="8:8" x14ac:dyDescent="0.2">
      <c r="H69" s="152"/>
    </row>
    <row r="70" spans="8:8" x14ac:dyDescent="0.2">
      <c r="H70" s="152"/>
    </row>
    <row r="71" spans="8:8" x14ac:dyDescent="0.2">
      <c r="H71" s="152"/>
    </row>
    <row r="72" spans="8:8" x14ac:dyDescent="0.2">
      <c r="H72" s="152"/>
    </row>
    <row r="73" spans="8:8" x14ac:dyDescent="0.2">
      <c r="H73" s="152"/>
    </row>
    <row r="74" spans="8:8" x14ac:dyDescent="0.2">
      <c r="H74" s="152"/>
    </row>
    <row r="75" spans="8:8" x14ac:dyDescent="0.2">
      <c r="H75" s="152"/>
    </row>
    <row r="76" spans="8:8" x14ac:dyDescent="0.2">
      <c r="H76" s="152"/>
    </row>
    <row r="77" spans="8:8" x14ac:dyDescent="0.2">
      <c r="H77" s="152"/>
    </row>
    <row r="78" spans="8:8" x14ac:dyDescent="0.2">
      <c r="H78" s="152"/>
    </row>
    <row r="79" spans="8:8" x14ac:dyDescent="0.2">
      <c r="H79" s="152"/>
    </row>
    <row r="80" spans="8:8" x14ac:dyDescent="0.2">
      <c r="H80" s="152"/>
    </row>
    <row r="81" spans="8:8" x14ac:dyDescent="0.2">
      <c r="H81" s="4"/>
    </row>
    <row r="82" spans="8:8" x14ac:dyDescent="0.2">
      <c r="H82" s="4"/>
    </row>
  </sheetData>
  <sheetProtection password="E8A8" sheet="1" objects="1" scenarios="1"/>
  <mergeCells count="6">
    <mergeCell ref="H1:I1"/>
    <mergeCell ref="F1:G1"/>
    <mergeCell ref="A1:A2"/>
    <mergeCell ref="B1:B2"/>
    <mergeCell ref="E1:E2"/>
    <mergeCell ref="C1:D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110"/>
  <sheetViews>
    <sheetView topLeftCell="B1" zoomScale="191" zoomScaleNormal="80" workbookViewId="0">
      <selection activeCell="G51" sqref="G51"/>
    </sheetView>
  </sheetViews>
  <sheetFormatPr baseColWidth="10" defaultColWidth="8.83203125" defaultRowHeight="14" x14ac:dyDescent="0.15"/>
  <cols>
    <col min="1" max="1" width="5.5" style="173" customWidth="1"/>
    <col min="2" max="2" width="48.83203125" style="184" customWidth="1"/>
    <col min="3" max="3" width="22.6640625" style="184" customWidth="1"/>
    <col min="4" max="4" width="20.33203125" style="184" customWidth="1"/>
    <col min="5" max="5" width="12.6640625" style="184" customWidth="1"/>
    <col min="6" max="6" width="12.6640625" style="173" customWidth="1"/>
    <col min="7" max="7" width="9.1640625" style="173" bestFit="1" customWidth="1"/>
    <col min="8" max="8" width="16.6640625" style="173" customWidth="1"/>
    <col min="9" max="9" width="20.6640625" style="173" customWidth="1"/>
    <col min="10" max="10" width="8.83203125" style="173"/>
    <col min="11" max="11" width="10" style="173" bestFit="1" customWidth="1"/>
    <col min="12" max="16384" width="8.83203125" style="173"/>
  </cols>
  <sheetData>
    <row r="1" spans="2:9" ht="15" thickBot="1" x14ac:dyDescent="0.2"/>
    <row r="2" spans="2:9" x14ac:dyDescent="0.15">
      <c r="B2" s="390" t="str">
        <f>Калькуляция!B1</f>
        <v xml:space="preserve">Наименование/ИНН подрядчика </v>
      </c>
      <c r="C2" s="391"/>
      <c r="D2" s="391"/>
      <c r="E2" s="392" t="str">
        <f>Калькуляция!C1</f>
        <v>ООО "ПРИМЕР"</v>
      </c>
      <c r="F2" s="392"/>
      <c r="G2" s="392"/>
      <c r="H2" s="392"/>
      <c r="I2" s="393"/>
    </row>
    <row r="3" spans="2:9" ht="15" thickBot="1" x14ac:dyDescent="0.2">
      <c r="B3" s="394" t="str">
        <f>Калькуляция!B6</f>
        <v>Адрес объекта (индекс, город (населенный пункт), улица, дом (корпус, строение), офис</v>
      </c>
      <c r="C3" s="395"/>
      <c r="D3" s="395"/>
      <c r="E3" s="396" t="str">
        <f>Калькуляция!C6</f>
        <v>г. Пример, ул. Пример, д. 8</v>
      </c>
      <c r="F3" s="396"/>
      <c r="G3" s="396"/>
      <c r="H3" s="396"/>
      <c r="I3" s="397"/>
    </row>
    <row r="5" spans="2:9" x14ac:dyDescent="0.15">
      <c r="B5" s="172" t="s">
        <v>279</v>
      </c>
      <c r="C5" s="172"/>
      <c r="D5" s="173"/>
      <c r="E5" s="173"/>
    </row>
    <row r="6" spans="2:9" ht="23.25" customHeight="1" thickBot="1" x14ac:dyDescent="0.2">
      <c r="B6" s="174"/>
      <c r="C6" s="174"/>
      <c r="D6" s="173"/>
      <c r="E6" s="173"/>
    </row>
    <row r="7" spans="2:9" s="175" customFormat="1" ht="27.75" customHeight="1" x14ac:dyDescent="0.2">
      <c r="B7" s="404" t="s">
        <v>233</v>
      </c>
      <c r="C7" s="406" t="s">
        <v>263</v>
      </c>
      <c r="D7" s="406" t="s">
        <v>280</v>
      </c>
      <c r="E7" s="408" t="s">
        <v>381</v>
      </c>
      <c r="F7" s="409"/>
    </row>
    <row r="8" spans="2:9" ht="23.5" customHeight="1" x14ac:dyDescent="0.15">
      <c r="B8" s="405"/>
      <c r="C8" s="407"/>
      <c r="D8" s="407"/>
      <c r="E8" s="177" t="s">
        <v>238</v>
      </c>
      <c r="F8" s="178" t="s">
        <v>239</v>
      </c>
    </row>
    <row r="9" spans="2:9" x14ac:dyDescent="0.15">
      <c r="B9" s="192" t="str">
        <f>Тарификатор!B3</f>
        <v>Управление объектом</v>
      </c>
      <c r="C9" s="188">
        <f>IF('Расчет ФОТ'!Y9&gt;0,'Расчет ФОТ'!Y9,"")</f>
        <v>694.22926135757029</v>
      </c>
      <c r="D9" s="188">
        <f>IF(E9="","",E9-C9)</f>
        <v>102.70874284235344</v>
      </c>
      <c r="E9" s="188">
        <f>IF(Тарификатор!C3&gt;0,Тарификатор!C3,"")</f>
        <v>796.93800419992374</v>
      </c>
      <c r="F9" s="190">
        <f>IF(Тарификатор!D3&gt;0,Тарификатор!D3,"")</f>
        <v>956.3256050399084</v>
      </c>
    </row>
    <row r="10" spans="2:9" x14ac:dyDescent="0.15">
      <c r="B10" s="192">
        <f>Тарификатор!B4</f>
        <v>0</v>
      </c>
      <c r="C10" s="188" t="str">
        <f>IF('Расчет ФОТ'!Y10&gt;0,'Расчет ФОТ'!Y10,"")</f>
        <v/>
      </c>
      <c r="D10" s="188" t="str">
        <f t="shared" ref="D10:D43" si="0">IF(E10="","",E10-C10)</f>
        <v/>
      </c>
      <c r="E10" s="188" t="str">
        <f>IF(Тарификатор!C4&gt;0,Тарификатор!C4,"")</f>
        <v/>
      </c>
      <c r="F10" s="190" t="str">
        <f>IF(Тарификатор!D4&gt;0,Тарификатор!D4,"")</f>
        <v/>
      </c>
    </row>
    <row r="11" spans="2:9" x14ac:dyDescent="0.15">
      <c r="B11" s="192">
        <f>Тарификатор!B5</f>
        <v>0</v>
      </c>
      <c r="C11" s="188" t="str">
        <f>IF('Расчет ФОТ'!Y11&gt;0,'Расчет ФОТ'!Y11,"")</f>
        <v/>
      </c>
      <c r="D11" s="188" t="str">
        <f t="shared" si="0"/>
        <v/>
      </c>
      <c r="E11" s="188" t="str">
        <f>IF(Тарификатор!C5&gt;0,Тарификатор!C5,"")</f>
        <v/>
      </c>
      <c r="F11" s="190" t="str">
        <f>IF(Тарификатор!D5&gt;0,Тарификатор!D5,"")</f>
        <v/>
      </c>
    </row>
    <row r="12" spans="2:9" x14ac:dyDescent="0.15">
      <c r="B12" s="192">
        <f>Тарификатор!B6</f>
        <v>0</v>
      </c>
      <c r="C12" s="188" t="str">
        <f>IF('Расчет ФОТ'!Y12&gt;0,'Расчет ФОТ'!Y12,"")</f>
        <v/>
      </c>
      <c r="D12" s="188" t="str">
        <f t="shared" si="0"/>
        <v/>
      </c>
      <c r="E12" s="188" t="str">
        <f>IF(Тарификатор!C6&gt;0,Тарификатор!C6,"")</f>
        <v/>
      </c>
      <c r="F12" s="190" t="str">
        <f>IF(Тарификатор!D6&gt;0,Тарификатор!D6,"")</f>
        <v/>
      </c>
    </row>
    <row r="13" spans="2:9" x14ac:dyDescent="0.15">
      <c r="B13" s="192" t="str">
        <f>Тарификатор!B7</f>
        <v>Уборка внутренних помещений (ОВУ)</v>
      </c>
      <c r="C13" s="188">
        <f>IF('Расчет ФОТ'!Y13&gt;0,'Расчет ФОТ'!Y13,"")</f>
        <v>377.67570471495384</v>
      </c>
      <c r="D13" s="188">
        <f t="shared" si="0"/>
        <v>138.28566591927648</v>
      </c>
      <c r="E13" s="188">
        <f>IF(Тарификатор!C7&gt;0,Тарификатор!C7,"")</f>
        <v>515.96137063423032</v>
      </c>
      <c r="F13" s="190">
        <f>IF(Тарификатор!D7&gt;0,Тарификатор!D7,"")</f>
        <v>619.15364476107641</v>
      </c>
    </row>
    <row r="14" spans="2:9" x14ac:dyDescent="0.15">
      <c r="B14" s="192" t="str">
        <f>Тарификатор!B8</f>
        <v>Уборка внутренних помещений (ОПМ)</v>
      </c>
      <c r="C14" s="188">
        <f>IF('Расчет ФОТ'!Y14&gt;0,'Расчет ФОТ'!Y14,"")</f>
        <v>364.65240455236921</v>
      </c>
      <c r="D14" s="188">
        <f t="shared" si="0"/>
        <v>121.93951207312267</v>
      </c>
      <c r="E14" s="188">
        <f>IF(Тарификатор!C8&gt;0,Тарификатор!C8,"")</f>
        <v>486.59191662549188</v>
      </c>
      <c r="F14" s="190">
        <f>IF(Тарификатор!D8&gt;0,Тарификатор!D8,"")</f>
        <v>583.91029995059023</v>
      </c>
    </row>
    <row r="15" spans="2:9" x14ac:dyDescent="0.15">
      <c r="B15" s="192">
        <f>Тарификатор!B9</f>
        <v>0</v>
      </c>
      <c r="C15" s="188" t="str">
        <f>IF('Расчет ФОТ'!Y15&gt;0,'Расчет ФОТ'!Y15,"")</f>
        <v/>
      </c>
      <c r="D15" s="188" t="str">
        <f t="shared" si="0"/>
        <v/>
      </c>
      <c r="E15" s="188" t="str">
        <f>IF(Тарификатор!C9&gt;0,Тарификатор!C9,"")</f>
        <v/>
      </c>
      <c r="F15" s="190" t="str">
        <f>IF(Тарификатор!D9&gt;0,Тарификатор!D9,"")</f>
        <v/>
      </c>
    </row>
    <row r="16" spans="2:9" x14ac:dyDescent="0.15">
      <c r="B16" s="192" t="str">
        <f>Тарификатор!B10</f>
        <v>Сбор тележек</v>
      </c>
      <c r="C16" s="188">
        <f>IF('Расчет ФОТ'!Y16&gt;0,'Расчет ФОТ'!Y16,"")</f>
        <v>358.14075447107689</v>
      </c>
      <c r="D16" s="188">
        <f t="shared" si="0"/>
        <v>104.95233258594317</v>
      </c>
      <c r="E16" s="188">
        <f>IF(Тарификатор!C10&gt;0,Тарификатор!C10,"")</f>
        <v>463.09308705702006</v>
      </c>
      <c r="F16" s="190">
        <f>IF(Тарификатор!D10&gt;0,Тарификатор!D10,"")</f>
        <v>555.71170446842405</v>
      </c>
    </row>
    <row r="17" spans="2:6" x14ac:dyDescent="0.15">
      <c r="B17" s="192">
        <f>Тарификатор!B11</f>
        <v>0</v>
      </c>
      <c r="C17" s="188" t="str">
        <f>IF('Расчет ФОТ'!Y17&gt;0,'Расчет ФОТ'!Y17,"")</f>
        <v/>
      </c>
      <c r="D17" s="188" t="str">
        <f t="shared" si="0"/>
        <v/>
      </c>
      <c r="E17" s="188" t="str">
        <f>IF(Тарификатор!C11&gt;0,Тарификатор!C11,"")</f>
        <v/>
      </c>
      <c r="F17" s="190" t="str">
        <f>IF(Тарификатор!D11&gt;0,Тарификатор!D11,"")</f>
        <v/>
      </c>
    </row>
    <row r="18" spans="2:6" x14ac:dyDescent="0.15">
      <c r="B18" s="192" t="str">
        <f>Тарификатор!B12</f>
        <v>Уборка внешней территории (ОВнУ)</v>
      </c>
      <c r="C18" s="188">
        <f>IF('Расчет ФОТ'!Y18&gt;0,'Расчет ФОТ'!Y18,"")</f>
        <v>364.65240455236926</v>
      </c>
      <c r="D18" s="188">
        <f t="shared" si="0"/>
        <v>139.56771720132781</v>
      </c>
      <c r="E18" s="188">
        <f>IF(Тарификатор!C12&gt;0,Тарификатор!C12,"")</f>
        <v>504.22012175369707</v>
      </c>
      <c r="F18" s="190">
        <f>IF(Тарификатор!D12&gt;0,Тарификатор!D12,"")</f>
        <v>605.06414610443642</v>
      </c>
    </row>
    <row r="19" spans="2:6" x14ac:dyDescent="0.15">
      <c r="B19" s="192">
        <f>Тарификатор!B13</f>
        <v>0</v>
      </c>
      <c r="C19" s="188" t="str">
        <f>IF('Расчет ФОТ'!Y19&gt;0,'Расчет ФОТ'!Y19,"")</f>
        <v/>
      </c>
      <c r="D19" s="188" t="str">
        <f t="shared" si="0"/>
        <v/>
      </c>
      <c r="E19" s="188" t="str">
        <f>IF(Тарификатор!C13&gt;0,Тарификатор!C13,"")</f>
        <v/>
      </c>
      <c r="F19" s="190" t="str">
        <f>IF(Тарификатор!D13&gt;0,Тарификатор!D13,"")</f>
        <v/>
      </c>
    </row>
    <row r="20" spans="2:6" x14ac:dyDescent="0.15">
      <c r="B20" s="192" t="str">
        <f>Тарификатор!B14</f>
        <v>Уборка внешней территории с помощью трактора</v>
      </c>
      <c r="C20" s="188">
        <f>IF('Расчет ФОТ'!Y20&gt;0,'Расчет ФОТ'!Y20,"")</f>
        <v>390.69900487753847</v>
      </c>
      <c r="D20" s="188">
        <f t="shared" si="0"/>
        <v>300.51094064455123</v>
      </c>
      <c r="E20" s="188">
        <f>IF(Тарификатор!C14&gt;0,Тарификатор!C14,"")</f>
        <v>691.2099455220897</v>
      </c>
      <c r="F20" s="190">
        <f>IF(Тарификатор!D14&gt;0,Тарификатор!D14,"")</f>
        <v>829.45193462650764</v>
      </c>
    </row>
    <row r="21" spans="2:6" x14ac:dyDescent="0.15">
      <c r="B21" s="192">
        <f>Тарификатор!B15</f>
        <v>0</v>
      </c>
      <c r="C21" s="188" t="str">
        <f>IF('Расчет ФОТ'!Y21&gt;0,'Расчет ФОТ'!Y21,"")</f>
        <v/>
      </c>
      <c r="D21" s="188" t="str">
        <f t="shared" si="0"/>
        <v/>
      </c>
      <c r="E21" s="188" t="str">
        <f>IF(Тарификатор!C15&gt;0,Тарификатор!C15,"")</f>
        <v/>
      </c>
      <c r="F21" s="190" t="str">
        <f>IF(Тарификатор!D15&gt;0,Тарификатор!D15,"")</f>
        <v/>
      </c>
    </row>
    <row r="22" spans="2:6" x14ac:dyDescent="0.15">
      <c r="B22" s="192">
        <f>Тарификатор!B16</f>
        <v>0</v>
      </c>
      <c r="C22" s="188" t="str">
        <f>IF('Расчет ФОТ'!Y22&gt;0,'Расчет ФОТ'!Y22,"")</f>
        <v/>
      </c>
      <c r="D22" s="188" t="str">
        <f t="shared" si="0"/>
        <v/>
      </c>
      <c r="E22" s="188" t="str">
        <f>IF(Тарификатор!C16&gt;0,Тарификатор!C16,"")</f>
        <v/>
      </c>
      <c r="F22" s="190" t="str">
        <f>IF(Тарификатор!D16&gt;0,Тарификатор!D16,"")</f>
        <v/>
      </c>
    </row>
    <row r="23" spans="2:6" x14ac:dyDescent="0.15">
      <c r="B23" s="192">
        <f>Тарификатор!B17</f>
        <v>0</v>
      </c>
      <c r="C23" s="188" t="str">
        <f>IF('Расчет ФОТ'!Y23&gt;0,'Расчет ФОТ'!Y23,"")</f>
        <v/>
      </c>
      <c r="D23" s="188" t="str">
        <f t="shared" si="0"/>
        <v/>
      </c>
      <c r="E23" s="188" t="str">
        <f>IF(Тарификатор!C17&gt;0,Тарификатор!C17,"")</f>
        <v/>
      </c>
      <c r="F23" s="190" t="str">
        <f>IF(Тарификатор!D17&gt;0,Тарификатор!D17,"")</f>
        <v/>
      </c>
    </row>
    <row r="24" spans="2:6" x14ac:dyDescent="0.15">
      <c r="B24" s="192">
        <f>Тарификатор!B18</f>
        <v>0</v>
      </c>
      <c r="C24" s="188" t="str">
        <f>IF('Расчет ФОТ'!Y24&gt;0,'Расчет ФОТ'!Y24,"")</f>
        <v/>
      </c>
      <c r="D24" s="188" t="str">
        <f t="shared" si="0"/>
        <v/>
      </c>
      <c r="E24" s="188" t="str">
        <f>IF(Тарификатор!C18&gt;0,Тарификатор!C18,"")</f>
        <v/>
      </c>
      <c r="F24" s="190" t="str">
        <f>IF(Тарификатор!D18&gt;0,Тарификатор!D18,"")</f>
        <v/>
      </c>
    </row>
    <row r="25" spans="2:6" x14ac:dyDescent="0.15">
      <c r="B25" s="192">
        <f>Тарификатор!B19</f>
        <v>0</v>
      </c>
      <c r="C25" s="188" t="str">
        <f>IF('Расчет ФОТ'!Y25&gt;0,'Расчет ФОТ'!Y25,"")</f>
        <v/>
      </c>
      <c r="D25" s="188" t="str">
        <f t="shared" si="0"/>
        <v/>
      </c>
      <c r="E25" s="188" t="str">
        <f>IF(Тарификатор!C19&gt;0,Тарификатор!C19,"")</f>
        <v/>
      </c>
      <c r="F25" s="190" t="str">
        <f>IF(Тарификатор!D19&gt;0,Тарификатор!D19,"")</f>
        <v/>
      </c>
    </row>
    <row r="26" spans="2:6" x14ac:dyDescent="0.15">
      <c r="B26" s="192">
        <f>Тарификатор!B20</f>
        <v>0</v>
      </c>
      <c r="C26" s="188" t="str">
        <f>IF('Расчет ФОТ'!Y26&gt;0,'Расчет ФОТ'!Y26,"")</f>
        <v/>
      </c>
      <c r="D26" s="188" t="str">
        <f t="shared" ref="D26:D40" si="1">IF(E26="","",E26-C26)</f>
        <v/>
      </c>
      <c r="E26" s="188" t="str">
        <f>IF(Тарификатор!C20&gt;0,Тарификатор!C20,"")</f>
        <v/>
      </c>
      <c r="F26" s="190" t="str">
        <f>IF(Тарификатор!D20&gt;0,Тарификатор!D20,"")</f>
        <v/>
      </c>
    </row>
    <row r="27" spans="2:6" x14ac:dyDescent="0.15">
      <c r="B27" s="192">
        <f>Тарификатор!B21</f>
        <v>0</v>
      </c>
      <c r="C27" s="188" t="str">
        <f>IF('Расчет ФОТ'!Y27&gt;0,'Расчет ФОТ'!Y27,"")</f>
        <v/>
      </c>
      <c r="D27" s="188" t="str">
        <f t="shared" si="1"/>
        <v/>
      </c>
      <c r="E27" s="188" t="str">
        <f>IF(Тарификатор!C21&gt;0,Тарификатор!C21,"")</f>
        <v/>
      </c>
      <c r="F27" s="190" t="str">
        <f>IF(Тарификатор!D21&gt;0,Тарификатор!D21,"")</f>
        <v/>
      </c>
    </row>
    <row r="28" spans="2:6" x14ac:dyDescent="0.15">
      <c r="B28" s="192">
        <f>Тарификатор!B22</f>
        <v>0</v>
      </c>
      <c r="C28" s="188" t="str">
        <f>IF('Расчет ФОТ'!Y28&gt;0,'Расчет ФОТ'!Y28,"")</f>
        <v/>
      </c>
      <c r="D28" s="188" t="str">
        <f t="shared" si="1"/>
        <v/>
      </c>
      <c r="E28" s="188" t="str">
        <f>IF(Тарификатор!C22&gt;0,Тарификатор!C22,"")</f>
        <v/>
      </c>
      <c r="F28" s="190" t="str">
        <f>IF(Тарификатор!D22&gt;0,Тарификатор!D22,"")</f>
        <v/>
      </c>
    </row>
    <row r="29" spans="2:6" x14ac:dyDescent="0.15">
      <c r="B29" s="192">
        <f>Тарификатор!B23</f>
        <v>0</v>
      </c>
      <c r="C29" s="188" t="str">
        <f>IF('Расчет ФОТ'!Y29&gt;0,'Расчет ФОТ'!Y29,"")</f>
        <v/>
      </c>
      <c r="D29" s="188" t="str">
        <f t="shared" si="1"/>
        <v/>
      </c>
      <c r="E29" s="188" t="str">
        <f>IF(Тарификатор!C23&gt;0,Тарификатор!C23,"")</f>
        <v/>
      </c>
      <c r="F29" s="190" t="str">
        <f>IF(Тарификатор!D23&gt;0,Тарификатор!D23,"")</f>
        <v/>
      </c>
    </row>
    <row r="30" spans="2:6" x14ac:dyDescent="0.15">
      <c r="B30" s="192">
        <f>Тарификатор!B24</f>
        <v>0</v>
      </c>
      <c r="C30" s="188" t="str">
        <f>IF('Расчет ФОТ'!Y30&gt;0,'Расчет ФОТ'!Y30,"")</f>
        <v/>
      </c>
      <c r="D30" s="188" t="str">
        <f t="shared" si="1"/>
        <v/>
      </c>
      <c r="E30" s="188" t="str">
        <f>IF(Тарификатор!C24&gt;0,Тарификатор!C24,"")</f>
        <v/>
      </c>
      <c r="F30" s="190" t="str">
        <f>IF(Тарификатор!D24&gt;0,Тарификатор!D24,"")</f>
        <v/>
      </c>
    </row>
    <row r="31" spans="2:6" x14ac:dyDescent="0.15">
      <c r="B31" s="192">
        <f>Тарификатор!B25</f>
        <v>0</v>
      </c>
      <c r="C31" s="188" t="str">
        <f>IF('Расчет ФОТ'!Y31&gt;0,'Расчет ФОТ'!Y31,"")</f>
        <v/>
      </c>
      <c r="D31" s="188" t="str">
        <f t="shared" si="1"/>
        <v/>
      </c>
      <c r="E31" s="188" t="str">
        <f>IF(Тарификатор!C25&gt;0,Тарификатор!C25,"")</f>
        <v/>
      </c>
      <c r="F31" s="190" t="str">
        <f>IF(Тарификатор!D25&gt;0,Тарификатор!D25,"")</f>
        <v/>
      </c>
    </row>
    <row r="32" spans="2:6" x14ac:dyDescent="0.15">
      <c r="B32" s="192">
        <f>Тарификатор!B26</f>
        <v>0</v>
      </c>
      <c r="C32" s="188" t="str">
        <f>IF('Расчет ФОТ'!Y32&gt;0,'Расчет ФОТ'!Y32,"")</f>
        <v/>
      </c>
      <c r="D32" s="188" t="str">
        <f t="shared" si="1"/>
        <v/>
      </c>
      <c r="E32" s="188" t="str">
        <f>IF(Тарификатор!C26&gt;0,Тарификатор!C26,"")</f>
        <v/>
      </c>
      <c r="F32" s="190" t="str">
        <f>IF(Тарификатор!D26&gt;0,Тарификатор!D26,"")</f>
        <v/>
      </c>
    </row>
    <row r="33" spans="2:6" x14ac:dyDescent="0.15">
      <c r="B33" s="192">
        <f>Тарификатор!B27</f>
        <v>0</v>
      </c>
      <c r="C33" s="188" t="str">
        <f>IF('Расчет ФОТ'!Y33&gt;0,'Расчет ФОТ'!Y33,"")</f>
        <v/>
      </c>
      <c r="D33" s="188" t="str">
        <f t="shared" si="1"/>
        <v/>
      </c>
      <c r="E33" s="188" t="str">
        <f>IF(Тарификатор!C27&gt;0,Тарификатор!C27,"")</f>
        <v/>
      </c>
      <c r="F33" s="190" t="str">
        <f>IF(Тарификатор!D27&gt;0,Тарификатор!D27,"")</f>
        <v/>
      </c>
    </row>
    <row r="34" spans="2:6" x14ac:dyDescent="0.15">
      <c r="B34" s="192">
        <f>Тарификатор!B28</f>
        <v>0</v>
      </c>
      <c r="C34" s="188" t="str">
        <f>IF('Расчет ФОТ'!Y34&gt;0,'Расчет ФОТ'!Y34,"")</f>
        <v/>
      </c>
      <c r="D34" s="188" t="str">
        <f t="shared" si="1"/>
        <v/>
      </c>
      <c r="E34" s="188" t="str">
        <f>IF(Тарификатор!C28&gt;0,Тарификатор!C28,"")</f>
        <v/>
      </c>
      <c r="F34" s="190" t="str">
        <f>IF(Тарификатор!D28&gt;0,Тарификатор!D28,"")</f>
        <v/>
      </c>
    </row>
    <row r="35" spans="2:6" x14ac:dyDescent="0.15">
      <c r="B35" s="192">
        <f>Тарификатор!B29</f>
        <v>0</v>
      </c>
      <c r="C35" s="188" t="str">
        <f>IF('Расчет ФОТ'!Y35&gt;0,'Расчет ФОТ'!Y35,"")</f>
        <v/>
      </c>
      <c r="D35" s="188" t="str">
        <f t="shared" si="1"/>
        <v/>
      </c>
      <c r="E35" s="188" t="str">
        <f>IF(Тарификатор!C29&gt;0,Тарификатор!C29,"")</f>
        <v/>
      </c>
      <c r="F35" s="190" t="str">
        <f>IF(Тарификатор!D29&gt;0,Тарификатор!D29,"")</f>
        <v/>
      </c>
    </row>
    <row r="36" spans="2:6" x14ac:dyDescent="0.15">
      <c r="B36" s="192">
        <f>Тарификатор!B30</f>
        <v>0</v>
      </c>
      <c r="C36" s="188" t="str">
        <f>IF('Расчет ФОТ'!Y36&gt;0,'Расчет ФОТ'!Y36,"")</f>
        <v/>
      </c>
      <c r="D36" s="188" t="str">
        <f t="shared" si="1"/>
        <v/>
      </c>
      <c r="E36" s="188" t="str">
        <f>IF(Тарификатор!C30&gt;0,Тарификатор!C30,"")</f>
        <v/>
      </c>
      <c r="F36" s="190" t="str">
        <f>IF(Тарификатор!D30&gt;0,Тарификатор!D30,"")</f>
        <v/>
      </c>
    </row>
    <row r="37" spans="2:6" x14ac:dyDescent="0.15">
      <c r="B37" s="192">
        <f>Тарификатор!B31</f>
        <v>0</v>
      </c>
      <c r="C37" s="188" t="str">
        <f>IF('Расчет ФОТ'!Y37&gt;0,'Расчет ФОТ'!Y37,"")</f>
        <v/>
      </c>
      <c r="D37" s="188" t="str">
        <f t="shared" si="1"/>
        <v/>
      </c>
      <c r="E37" s="188" t="str">
        <f>IF(Тарификатор!C31&gt;0,Тарификатор!C31,"")</f>
        <v/>
      </c>
      <c r="F37" s="190" t="str">
        <f>IF(Тарификатор!D31&gt;0,Тарификатор!D31,"")</f>
        <v/>
      </c>
    </row>
    <row r="38" spans="2:6" x14ac:dyDescent="0.15">
      <c r="B38" s="192">
        <f>Тарификатор!B32</f>
        <v>0</v>
      </c>
      <c r="C38" s="188" t="str">
        <f>IF('Расчет ФОТ'!Y38&gt;0,'Расчет ФОТ'!Y38,"")</f>
        <v/>
      </c>
      <c r="D38" s="188" t="str">
        <f t="shared" si="1"/>
        <v/>
      </c>
      <c r="E38" s="188" t="str">
        <f>IF(Тарификатор!C32&gt;0,Тарификатор!C32,"")</f>
        <v/>
      </c>
      <c r="F38" s="190" t="str">
        <f>IF(Тарификатор!D32&gt;0,Тарификатор!D32,"")</f>
        <v/>
      </c>
    </row>
    <row r="39" spans="2:6" x14ac:dyDescent="0.15">
      <c r="B39" s="192">
        <f>Тарификатор!B33</f>
        <v>0</v>
      </c>
      <c r="C39" s="188" t="str">
        <f>IF('Расчет ФОТ'!Y39&gt;0,'Расчет ФОТ'!Y39,"")</f>
        <v/>
      </c>
      <c r="D39" s="188" t="str">
        <f t="shared" si="1"/>
        <v/>
      </c>
      <c r="E39" s="188" t="str">
        <f>IF(Тарификатор!C33&gt;0,Тарификатор!C33,"")</f>
        <v/>
      </c>
      <c r="F39" s="190" t="str">
        <f>IF(Тарификатор!D33&gt;0,Тарификатор!D33,"")</f>
        <v/>
      </c>
    </row>
    <row r="40" spans="2:6" x14ac:dyDescent="0.15">
      <c r="B40" s="192">
        <f>Тарификатор!B34</f>
        <v>0</v>
      </c>
      <c r="C40" s="188" t="str">
        <f>IF('Расчет ФОТ'!Y40&gt;0,'Расчет ФОТ'!Y40,"")</f>
        <v/>
      </c>
      <c r="D40" s="188" t="str">
        <f t="shared" si="1"/>
        <v/>
      </c>
      <c r="E40" s="188" t="str">
        <f>IF(Тарификатор!C34&gt;0,Тарификатор!C34,"")</f>
        <v/>
      </c>
      <c r="F40" s="190" t="str">
        <f>IF(Тарификатор!D34&gt;0,Тарификатор!D34,"")</f>
        <v/>
      </c>
    </row>
    <row r="41" spans="2:6" x14ac:dyDescent="0.15">
      <c r="B41" s="192">
        <f>Тарификатор!B35</f>
        <v>0</v>
      </c>
      <c r="C41" s="188" t="str">
        <f>IF('Расчет ФОТ'!Y41&gt;0,'Расчет ФОТ'!Y41,"")</f>
        <v/>
      </c>
      <c r="D41" s="188" t="str">
        <f t="shared" si="0"/>
        <v/>
      </c>
      <c r="E41" s="188" t="str">
        <f>IF(Тарификатор!C35&gt;0,Тарификатор!C35,"")</f>
        <v/>
      </c>
      <c r="F41" s="190" t="str">
        <f>IF(Тарификатор!D35&gt;0,Тарификатор!D35,"")</f>
        <v/>
      </c>
    </row>
    <row r="42" spans="2:6" x14ac:dyDescent="0.15">
      <c r="B42" s="192">
        <f>Тарификатор!B36</f>
        <v>0</v>
      </c>
      <c r="C42" s="188" t="str">
        <f>IF('Расчет ФОТ'!Y42&gt;0,'Расчет ФОТ'!Y42,"")</f>
        <v/>
      </c>
      <c r="D42" s="188" t="str">
        <f t="shared" si="0"/>
        <v/>
      </c>
      <c r="E42" s="188" t="str">
        <f>IF(Тарификатор!C36&gt;0,Тарификатор!C36,"")</f>
        <v/>
      </c>
      <c r="F42" s="190" t="str">
        <f>IF(Тарификатор!D36&gt;0,Тарификатор!D36,"")</f>
        <v/>
      </c>
    </row>
    <row r="43" spans="2:6" ht="15" thickBot="1" x14ac:dyDescent="0.2">
      <c r="B43" s="193">
        <f>Тарификатор!B37</f>
        <v>0</v>
      </c>
      <c r="C43" s="189" t="str">
        <f>IF('Расчет ФОТ'!Y43&gt;0,'Расчет ФОТ'!Y43,"")</f>
        <v/>
      </c>
      <c r="D43" s="181" t="str">
        <f t="shared" si="0"/>
        <v/>
      </c>
      <c r="E43" s="189" t="str">
        <f>IF(Тарификатор!C37&gt;0,Тарификатор!C37,"")</f>
        <v/>
      </c>
      <c r="F43" s="191" t="str">
        <f>IF(Тарификатор!D37&gt;0,Тарификатор!D37,"")</f>
        <v/>
      </c>
    </row>
    <row r="44" spans="2:6" x14ac:dyDescent="0.15">
      <c r="B44" s="173"/>
      <c r="C44" s="173"/>
      <c r="D44" s="173"/>
      <c r="E44" s="173"/>
    </row>
    <row r="45" spans="2:6" x14ac:dyDescent="0.15">
      <c r="B45" s="400" t="s">
        <v>281</v>
      </c>
      <c r="C45" s="400"/>
      <c r="D45" s="400"/>
      <c r="E45" s="173"/>
    </row>
    <row r="46" spans="2:6" x14ac:dyDescent="0.15">
      <c r="B46" s="400"/>
      <c r="C46" s="400"/>
      <c r="D46" s="400"/>
      <c r="E46" s="173"/>
    </row>
    <row r="47" spans="2:6" x14ac:dyDescent="0.15">
      <c r="B47" s="200"/>
      <c r="C47" s="200"/>
      <c r="D47" s="200"/>
      <c r="E47" s="173"/>
    </row>
    <row r="48" spans="2:6" x14ac:dyDescent="0.15">
      <c r="B48" s="172" t="s">
        <v>262</v>
      </c>
      <c r="C48" s="172"/>
      <c r="D48" s="172"/>
      <c r="E48" s="172"/>
    </row>
    <row r="49" spans="2:6" ht="15" thickBot="1" x14ac:dyDescent="0.2">
      <c r="B49" s="173"/>
      <c r="C49" s="173"/>
      <c r="D49" s="173"/>
      <c r="E49" s="173"/>
    </row>
    <row r="50" spans="2:6" ht="45" x14ac:dyDescent="0.15">
      <c r="B50" s="182" t="s">
        <v>18</v>
      </c>
      <c r="C50" s="201" t="s">
        <v>261</v>
      </c>
      <c r="D50" s="202" t="s">
        <v>282</v>
      </c>
      <c r="E50" s="183" t="s">
        <v>265</v>
      </c>
      <c r="F50" s="175"/>
    </row>
    <row r="51" spans="2:6" ht="16" x14ac:dyDescent="0.15">
      <c r="B51" s="179" t="s">
        <v>264</v>
      </c>
      <c r="C51" s="291">
        <f>Калькуляция!G12</f>
        <v>811242.06800657313</v>
      </c>
      <c r="D51" s="291">
        <f>Калькуляция!H12</f>
        <v>9734904.8160788771</v>
      </c>
      <c r="E51" s="196">
        <f>Калькуляция!I12</f>
        <v>0.49504494463862386</v>
      </c>
    </row>
    <row r="52" spans="2:6" ht="16" x14ac:dyDescent="0.15">
      <c r="B52" s="179" t="s">
        <v>259</v>
      </c>
      <c r="C52" s="291">
        <f>Калькуляция!G13</f>
        <v>403302.54795810283</v>
      </c>
      <c r="D52" s="291">
        <f>Калькуляция!H13</f>
        <v>4839630.5754972342</v>
      </c>
      <c r="E52" s="196">
        <f>Калькуляция!I13</f>
        <v>0.24610766058660224</v>
      </c>
    </row>
    <row r="53" spans="2:6" ht="16" x14ac:dyDescent="0.15">
      <c r="B53" s="179" t="s">
        <v>8</v>
      </c>
      <c r="C53" s="291">
        <f>Калькуляция!G16</f>
        <v>74166.666666666657</v>
      </c>
      <c r="D53" s="291">
        <f>Калькуляция!H16</f>
        <v>890000</v>
      </c>
      <c r="E53" s="196">
        <f>Калькуляция!I16</f>
        <v>4.5258788766035465E-2</v>
      </c>
    </row>
    <row r="54" spans="2:6" ht="16" x14ac:dyDescent="0.15">
      <c r="B54" s="179" t="s">
        <v>1</v>
      </c>
      <c r="C54" s="291">
        <f>Калькуляция!G21</f>
        <v>14166.666666666668</v>
      </c>
      <c r="D54" s="291">
        <f>Калькуляция!H21</f>
        <v>170000</v>
      </c>
      <c r="E54" s="196">
        <f>Калькуляция!I21</f>
        <v>8.6449371800292468E-3</v>
      </c>
    </row>
    <row r="55" spans="2:6" ht="16" x14ac:dyDescent="0.15">
      <c r="B55" s="179" t="s">
        <v>2</v>
      </c>
      <c r="C55" s="291">
        <f>Калькуляция!G30</f>
        <v>6416.666666666667</v>
      </c>
      <c r="D55" s="291">
        <f>Калькуляция!H30</f>
        <v>77000</v>
      </c>
      <c r="E55" s="196">
        <f>Калькуляция!I30</f>
        <v>3.9156480168367766E-3</v>
      </c>
    </row>
    <row r="56" spans="2:6" ht="16" x14ac:dyDescent="0.15">
      <c r="B56" s="179" t="s">
        <v>3</v>
      </c>
      <c r="C56" s="291">
        <f>Калькуляция!G39</f>
        <v>41011.904761904763</v>
      </c>
      <c r="D56" s="291">
        <f>Калькуляция!H39</f>
        <v>492142.85714285716</v>
      </c>
      <c r="E56" s="196">
        <f>Калькуляция!I39</f>
        <v>2.5026729903530047E-2</v>
      </c>
    </row>
    <row r="57" spans="2:6" ht="16" x14ac:dyDescent="0.15">
      <c r="B57" s="179" t="s">
        <v>36</v>
      </c>
      <c r="C57" s="291">
        <f>Калькуляция!G48</f>
        <v>16666.666666666668</v>
      </c>
      <c r="D57" s="291">
        <f>Калькуляция!H48</f>
        <v>200000</v>
      </c>
      <c r="E57" s="196">
        <f>Калькуляция!I48</f>
        <v>1.0170514329446172E-2</v>
      </c>
    </row>
    <row r="58" spans="2:6" ht="16" x14ac:dyDescent="0.15">
      <c r="B58" s="179" t="s">
        <v>4</v>
      </c>
      <c r="C58" s="291">
        <f>Калькуляция!G49</f>
        <v>50000</v>
      </c>
      <c r="D58" s="291">
        <f>Калькуляция!H49</f>
        <v>600000</v>
      </c>
      <c r="E58" s="196">
        <f>Калькуляция!I49</f>
        <v>3.0511542988338518E-2</v>
      </c>
    </row>
    <row r="59" spans="2:6" ht="16" x14ac:dyDescent="0.15">
      <c r="B59" s="179" t="s">
        <v>12</v>
      </c>
      <c r="C59" s="291">
        <f>SUM(Калькуляция!G55:G62)</f>
        <v>1666.6666666666667</v>
      </c>
      <c r="D59" s="291">
        <f>SUM(Калькуляция!H55:H62)</f>
        <v>20000</v>
      </c>
      <c r="E59" s="196">
        <f>IF(Калькуляция!H71=0,"",SUM(Калькуляция!I55:I62))</f>
        <v>1.0170514329446172E-3</v>
      </c>
    </row>
    <row r="60" spans="2:6" ht="16" x14ac:dyDescent="0.15">
      <c r="B60" s="179" t="s">
        <v>22</v>
      </c>
      <c r="C60" s="291">
        <f>Калькуляция!G64</f>
        <v>131933.50642757202</v>
      </c>
      <c r="D60" s="291">
        <f>Калькуляция!H64</f>
        <v>1583202.0771308641</v>
      </c>
      <c r="E60" s="196">
        <f>Калькуляция!I64</f>
        <v>8.0509897059341987E-2</v>
      </c>
    </row>
    <row r="61" spans="2:6" ht="16" x14ac:dyDescent="0.15">
      <c r="B61" s="179" t="s">
        <v>258</v>
      </c>
      <c r="C61" s="291">
        <f>Калькуляция!G65</f>
        <v>37337.562982302625</v>
      </c>
      <c r="D61" s="291">
        <f>Калькуляция!H65</f>
        <v>448050.7557876315</v>
      </c>
      <c r="E61" s="196">
        <f>Калькуляция!I65</f>
        <v>2.2784533160286467E-2</v>
      </c>
    </row>
    <row r="62" spans="2:6" ht="16" x14ac:dyDescent="0.15">
      <c r="B62" s="179" t="s">
        <v>28</v>
      </c>
      <c r="C62" s="291">
        <f>Калькуляция!G67</f>
        <v>50813.149551033239</v>
      </c>
      <c r="D62" s="291">
        <f>Калькуляция!H67</f>
        <v>609757.79461239884</v>
      </c>
      <c r="E62" s="196">
        <f>Калькуляция!I67</f>
        <v>3.1007751937984492E-2</v>
      </c>
    </row>
    <row r="63" spans="2:6" ht="16" x14ac:dyDescent="0.15">
      <c r="B63" s="179" t="s">
        <v>188</v>
      </c>
      <c r="C63" s="291">
        <f>Калькуляция!G68</f>
        <v>10162.629910206648</v>
      </c>
      <c r="D63" s="291">
        <f>Калькуляция!H68</f>
        <v>121951.55892247977</v>
      </c>
      <c r="E63" s="196"/>
    </row>
    <row r="64" spans="2:6" ht="16" x14ac:dyDescent="0.15">
      <c r="B64" s="179" t="s">
        <v>21</v>
      </c>
      <c r="C64" s="194">
        <f>Калькуляция!G69</f>
        <v>1638724.0730208226</v>
      </c>
      <c r="D64" s="194">
        <f>Калькуляция!H69</f>
        <v>19664688.876249865</v>
      </c>
      <c r="E64" s="196"/>
    </row>
    <row r="65" spans="2:11" ht="16" x14ac:dyDescent="0.15">
      <c r="B65" s="179" t="s">
        <v>25</v>
      </c>
      <c r="C65" s="291">
        <f>Калькуляция!G70</f>
        <v>327744.81460416457</v>
      </c>
      <c r="D65" s="291">
        <f>Калькуляция!H70</f>
        <v>3932937.7752499729</v>
      </c>
      <c r="E65" s="196"/>
    </row>
    <row r="66" spans="2:11" ht="17" thickBot="1" x14ac:dyDescent="0.2">
      <c r="B66" s="180" t="s">
        <v>42</v>
      </c>
      <c r="C66" s="195">
        <f>Калькуляция!G71</f>
        <v>1966468.8876249872</v>
      </c>
      <c r="D66" s="195">
        <f>Калькуляция!H71</f>
        <v>23597626.651499838</v>
      </c>
      <c r="E66" s="197"/>
    </row>
    <row r="67" spans="2:11" x14ac:dyDescent="0.15">
      <c r="B67" s="173"/>
      <c r="C67" s="173"/>
      <c r="D67" s="173"/>
      <c r="E67" s="173"/>
    </row>
    <row r="68" spans="2:11" x14ac:dyDescent="0.15">
      <c r="B68" s="187" t="s">
        <v>382</v>
      </c>
      <c r="C68" s="187"/>
      <c r="D68" s="187"/>
      <c r="E68" s="187"/>
    </row>
    <row r="70" spans="2:11" x14ac:dyDescent="0.15">
      <c r="B70" s="172" t="s">
        <v>260</v>
      </c>
      <c r="C70" s="173"/>
      <c r="D70" s="173"/>
      <c r="E70" s="173"/>
    </row>
    <row r="71" spans="2:11" ht="15" thickBot="1" x14ac:dyDescent="0.2">
      <c r="B71" s="174"/>
      <c r="C71" s="173"/>
      <c r="D71" s="173"/>
      <c r="E71" s="173"/>
    </row>
    <row r="72" spans="2:11" ht="103.5" customHeight="1" x14ac:dyDescent="0.15">
      <c r="B72" s="401" t="s">
        <v>201</v>
      </c>
      <c r="C72" s="402"/>
      <c r="D72" s="402"/>
      <c r="E72" s="403" t="s">
        <v>272</v>
      </c>
      <c r="F72" s="403"/>
      <c r="G72" s="403"/>
      <c r="H72" s="406" t="s">
        <v>283</v>
      </c>
      <c r="I72" s="398" t="s">
        <v>278</v>
      </c>
    </row>
    <row r="73" spans="2:11" s="292" customFormat="1" ht="14.5" customHeight="1" x14ac:dyDescent="0.15">
      <c r="B73" s="186" t="s">
        <v>230</v>
      </c>
      <c r="C73" s="176" t="s">
        <v>29</v>
      </c>
      <c r="D73" s="176" t="s">
        <v>273</v>
      </c>
      <c r="E73" s="176" t="s">
        <v>208</v>
      </c>
      <c r="F73" s="176" t="s">
        <v>209</v>
      </c>
      <c r="G73" s="176" t="s">
        <v>266</v>
      </c>
      <c r="H73" s="407"/>
      <c r="I73" s="399"/>
    </row>
    <row r="74" spans="2:11" ht="15" x14ac:dyDescent="0.15">
      <c r="B74" s="198" t="str">
        <f>'Расчет ФОТ'!B9</f>
        <v>Менеджер объекта</v>
      </c>
      <c r="C74" s="291">
        <f>'Расчет ФОТ'!C9</f>
        <v>1</v>
      </c>
      <c r="D74" s="291">
        <f>'Расчет ФОТ'!J9</f>
        <v>1971.84</v>
      </c>
      <c r="E74" s="291">
        <f>'Расчет ФОТ'!K9</f>
        <v>70000</v>
      </c>
      <c r="F74" s="291">
        <f>'Расчет ФОТ'!L9</f>
        <v>3407.9844206426487</v>
      </c>
      <c r="G74" s="291">
        <f>'Расчет ФОТ'!M9</f>
        <v>425.99805258033109</v>
      </c>
      <c r="H74" s="291">
        <f>'Расчет ФОТ'!W9-'Расчет ФОТ'!O9</f>
        <v>528909.02671531145</v>
      </c>
      <c r="I74" s="293">
        <f>'Расчет ФОТ'!W9</f>
        <v>1368909.0267153115</v>
      </c>
      <c r="K74" s="294"/>
    </row>
    <row r="75" spans="2:11" x14ac:dyDescent="0.15">
      <c r="B75" s="198">
        <f>'Расчет ФОТ'!B10</f>
        <v>0</v>
      </c>
      <c r="C75" s="291">
        <f>'Расчет ФОТ'!C10</f>
        <v>0</v>
      </c>
      <c r="D75" s="291">
        <f>'Расчет ФОТ'!J10</f>
        <v>0</v>
      </c>
      <c r="E75" s="291">
        <f>'Расчет ФОТ'!K10</f>
        <v>0</v>
      </c>
      <c r="F75" s="291">
        <f>'Расчет ФОТ'!L10</f>
        <v>0</v>
      </c>
      <c r="G75" s="291">
        <f>'Расчет ФОТ'!M10</f>
        <v>0</v>
      </c>
      <c r="H75" s="291">
        <f>'Расчет ФОТ'!W10-'Расчет ФОТ'!O10</f>
        <v>0</v>
      </c>
      <c r="I75" s="293">
        <f>'Расчет ФОТ'!W10</f>
        <v>0</v>
      </c>
    </row>
    <row r="76" spans="2:11" x14ac:dyDescent="0.15">
      <c r="B76" s="198">
        <f>'Расчет ФОТ'!B11</f>
        <v>0</v>
      </c>
      <c r="C76" s="291">
        <f>'Расчет ФОТ'!C11</f>
        <v>0</v>
      </c>
      <c r="D76" s="291">
        <f>'Расчет ФОТ'!J11</f>
        <v>0</v>
      </c>
      <c r="E76" s="291">
        <f>'Расчет ФОТ'!K11</f>
        <v>0</v>
      </c>
      <c r="F76" s="291">
        <f>'Расчет ФОТ'!L11</f>
        <v>0</v>
      </c>
      <c r="G76" s="291">
        <f>'Расчет ФОТ'!M11</f>
        <v>0</v>
      </c>
      <c r="H76" s="291">
        <f>'Расчет ФОТ'!W11-'Расчет ФОТ'!O11</f>
        <v>0</v>
      </c>
      <c r="I76" s="293">
        <f>'Расчет ФОТ'!W11</f>
        <v>0</v>
      </c>
    </row>
    <row r="77" spans="2:11" x14ac:dyDescent="0.15">
      <c r="B77" s="198">
        <f>'Расчет ФОТ'!B12</f>
        <v>0</v>
      </c>
      <c r="C77" s="291">
        <f>'Расчет ФОТ'!C12</f>
        <v>0</v>
      </c>
      <c r="D77" s="291">
        <f>'Расчет ФОТ'!J12</f>
        <v>0</v>
      </c>
      <c r="E77" s="291">
        <f>'Расчет ФОТ'!K12</f>
        <v>0</v>
      </c>
      <c r="F77" s="291">
        <f>'Расчет ФОТ'!L12</f>
        <v>0</v>
      </c>
      <c r="G77" s="291">
        <f>'Расчет ФОТ'!M12</f>
        <v>0</v>
      </c>
      <c r="H77" s="291">
        <f>'Расчет ФОТ'!W12-'Расчет ФОТ'!O12</f>
        <v>0</v>
      </c>
      <c r="I77" s="293">
        <f>'Расчет ФОТ'!W12</f>
        <v>0</v>
      </c>
    </row>
    <row r="78" spans="2:11" ht="15" x14ac:dyDescent="0.15">
      <c r="B78" s="198" t="str">
        <f>'Расчет ФОТ'!B13</f>
        <v>Оператор внутренней уборки</v>
      </c>
      <c r="C78" s="291">
        <f>'Расчет ФОТ'!C13</f>
        <v>5</v>
      </c>
      <c r="D78" s="291">
        <f>'Расчет ФОТ'!J13</f>
        <v>15600</v>
      </c>
      <c r="E78" s="291">
        <f>'Расчет ФОТ'!K13</f>
        <v>58000</v>
      </c>
      <c r="F78" s="291">
        <f>'Расчет ФОТ'!L13</f>
        <v>2230.7692307692309</v>
      </c>
      <c r="G78" s="291">
        <f>'Расчет ФОТ'!M13</f>
        <v>223.07692307692309</v>
      </c>
      <c r="H78" s="291">
        <f>'Расчет ФОТ'!W13-'Расчет ФОТ'!O13</f>
        <v>2411740.9935532799</v>
      </c>
      <c r="I78" s="293">
        <f>'Расчет ФОТ'!W13</f>
        <v>5891740.9935532799</v>
      </c>
    </row>
    <row r="79" spans="2:11" ht="15" x14ac:dyDescent="0.15">
      <c r="B79" s="198" t="str">
        <f>'Расчет ФОТ'!B14</f>
        <v>Оператор поломоечной машины</v>
      </c>
      <c r="C79" s="291">
        <f>'Расчет ФОТ'!C14</f>
        <v>3</v>
      </c>
      <c r="D79" s="291">
        <f>'Расчет ФОТ'!J14</f>
        <v>9360</v>
      </c>
      <c r="E79" s="291">
        <f>'Расчет ФОТ'!K14</f>
        <v>56000</v>
      </c>
      <c r="F79" s="291">
        <f>'Расчет ФОТ'!L14</f>
        <v>2153.8461538461538</v>
      </c>
      <c r="G79" s="291">
        <f>'Расчет ФОТ'!M14</f>
        <v>215.38461538461539</v>
      </c>
      <c r="H79" s="291">
        <f>'Расчет ФОТ'!W14-'Расчет ФОТ'!O14</f>
        <v>1397146.5066101756</v>
      </c>
      <c r="I79" s="293">
        <f>'Расчет ФОТ'!W14</f>
        <v>3413146.5066101756</v>
      </c>
    </row>
    <row r="80" spans="2:11" x14ac:dyDescent="0.15">
      <c r="B80" s="198">
        <f>'Расчет ФОТ'!B15</f>
        <v>0</v>
      </c>
      <c r="C80" s="291">
        <f>'Расчет ФОТ'!C15</f>
        <v>0</v>
      </c>
      <c r="D80" s="291">
        <f>'Расчет ФОТ'!J15</f>
        <v>0</v>
      </c>
      <c r="E80" s="291">
        <f>'Расчет ФОТ'!K15</f>
        <v>0</v>
      </c>
      <c r="F80" s="291">
        <f>'Расчет ФОТ'!L15</f>
        <v>0</v>
      </c>
      <c r="G80" s="291">
        <f>'Расчет ФОТ'!M15</f>
        <v>0</v>
      </c>
      <c r="H80" s="291">
        <f>'Расчет ФОТ'!W15-'Расчет ФОТ'!O15</f>
        <v>0</v>
      </c>
      <c r="I80" s="293">
        <f>'Расчет ФОТ'!W15</f>
        <v>0</v>
      </c>
    </row>
    <row r="81" spans="2:9" ht="15" x14ac:dyDescent="0.15">
      <c r="B81" s="198" t="str">
        <f>'Расчет ФОТ'!B16</f>
        <v>Тележечник</v>
      </c>
      <c r="C81" s="291">
        <f>'Расчет ФОТ'!C16</f>
        <v>1</v>
      </c>
      <c r="D81" s="291">
        <f>'Расчет ФОТ'!J16</f>
        <v>3120</v>
      </c>
      <c r="E81" s="291">
        <f>'Расчет ФОТ'!K16</f>
        <v>55000</v>
      </c>
      <c r="F81" s="291">
        <f>'Расчет ФОТ'!L16</f>
        <v>2115.3846153846152</v>
      </c>
      <c r="G81" s="291">
        <f>'Расчет ФОТ'!M16</f>
        <v>211.53846153846152</v>
      </c>
      <c r="H81" s="291">
        <f>'Расчет ФОТ'!W16-'Расчет ФОТ'!O16</f>
        <v>457399.1539497599</v>
      </c>
      <c r="I81" s="293">
        <f>'Расчет ФОТ'!W16</f>
        <v>1117399.1539497599</v>
      </c>
    </row>
    <row r="82" spans="2:9" x14ac:dyDescent="0.15">
      <c r="B82" s="198">
        <f>'Расчет ФОТ'!B17</f>
        <v>0</v>
      </c>
      <c r="C82" s="291">
        <f>'Расчет ФОТ'!C17</f>
        <v>0</v>
      </c>
      <c r="D82" s="291">
        <f>'Расчет ФОТ'!J17</f>
        <v>0</v>
      </c>
      <c r="E82" s="291">
        <f>'Расчет ФОТ'!K17</f>
        <v>0</v>
      </c>
      <c r="F82" s="291">
        <f>'Расчет ФОТ'!L17</f>
        <v>0</v>
      </c>
      <c r="G82" s="291">
        <f>'Расчет ФОТ'!M17</f>
        <v>0</v>
      </c>
      <c r="H82" s="291">
        <f>'Расчет ФОТ'!W17-'Расчет ФОТ'!O17</f>
        <v>0</v>
      </c>
      <c r="I82" s="293">
        <f>'Расчет ФОТ'!W17</f>
        <v>0</v>
      </c>
    </row>
    <row r="83" spans="2:9" ht="15" x14ac:dyDescent="0.15">
      <c r="B83" s="198" t="str">
        <f>'Расчет ФОТ'!B18</f>
        <v>Оператор внешней уборки</v>
      </c>
      <c r="C83" s="291">
        <f>'Расчет ФОТ'!C18</f>
        <v>2</v>
      </c>
      <c r="D83" s="291">
        <f>'Расчет ФОТ'!J18</f>
        <v>6240</v>
      </c>
      <c r="E83" s="291">
        <f>'Расчет ФОТ'!K18</f>
        <v>56000</v>
      </c>
      <c r="F83" s="291">
        <f>'Расчет ФОТ'!L18</f>
        <v>2153.8461538461538</v>
      </c>
      <c r="G83" s="291">
        <f>'Расчет ФОТ'!M18</f>
        <v>215.38461538461539</v>
      </c>
      <c r="H83" s="291">
        <f>'Расчет ФОТ'!W18-'Расчет ФОТ'!O18</f>
        <v>931431.0044067842</v>
      </c>
      <c r="I83" s="293">
        <f>'Расчет ФОТ'!W18</f>
        <v>2275431.0044067842</v>
      </c>
    </row>
    <row r="84" spans="2:9" x14ac:dyDescent="0.15">
      <c r="B84" s="198">
        <f>'Расчет ФОТ'!B19</f>
        <v>0</v>
      </c>
      <c r="C84" s="291">
        <f>'Расчет ФОТ'!C19</f>
        <v>0</v>
      </c>
      <c r="D84" s="291">
        <f>'Расчет ФОТ'!J19</f>
        <v>0</v>
      </c>
      <c r="E84" s="291">
        <f>'Расчет ФОТ'!K19</f>
        <v>0</v>
      </c>
      <c r="F84" s="291">
        <f>'Расчет ФОТ'!L19</f>
        <v>0</v>
      </c>
      <c r="G84" s="291">
        <f>'Расчет ФОТ'!M19</f>
        <v>0</v>
      </c>
      <c r="H84" s="291">
        <f>'Расчет ФОТ'!W19-'Расчет ФОТ'!O19</f>
        <v>0</v>
      </c>
      <c r="I84" s="293">
        <f>'Расчет ФОТ'!W19</f>
        <v>0</v>
      </c>
    </row>
    <row r="85" spans="2:9" ht="15" x14ac:dyDescent="0.15">
      <c r="B85" s="198" t="str">
        <f>'Расчет ФОТ'!B20</f>
        <v>Тракторист</v>
      </c>
      <c r="C85" s="291">
        <f>'Расчет ФОТ'!C20</f>
        <v>1</v>
      </c>
      <c r="D85" s="291">
        <f>'Расчет ФОТ'!J20</f>
        <v>1300</v>
      </c>
      <c r="E85" s="291">
        <f>'Расчет ФОТ'!K20</f>
        <v>60000</v>
      </c>
      <c r="F85" s="291">
        <f>'Расчет ФОТ'!L20</f>
        <v>2307.6923076923076</v>
      </c>
      <c r="G85" s="291">
        <f>'Расчет ФОТ'!M20</f>
        <v>230.76923076923077</v>
      </c>
      <c r="H85" s="291">
        <f>'Расчет ФОТ'!W20-'Расчет ФОТ'!O20</f>
        <v>207908.70634080004</v>
      </c>
      <c r="I85" s="293">
        <f>'Расчет ФОТ'!W20</f>
        <v>507908.70634080004</v>
      </c>
    </row>
    <row r="86" spans="2:9" x14ac:dyDescent="0.15">
      <c r="B86" s="198">
        <f>'Расчет ФОТ'!B21</f>
        <v>0</v>
      </c>
      <c r="C86" s="291">
        <f>'Расчет ФОТ'!C21</f>
        <v>0</v>
      </c>
      <c r="D86" s="291">
        <f>'Расчет ФОТ'!J21</f>
        <v>0</v>
      </c>
      <c r="E86" s="291">
        <f>'Расчет ФОТ'!K21</f>
        <v>0</v>
      </c>
      <c r="F86" s="291">
        <f>'Расчет ФОТ'!L21</f>
        <v>0</v>
      </c>
      <c r="G86" s="291">
        <f>'Расчет ФОТ'!M21</f>
        <v>0</v>
      </c>
      <c r="H86" s="291">
        <f>'Расчет ФОТ'!W21-'Расчет ФОТ'!O21</f>
        <v>0</v>
      </c>
      <c r="I86" s="293">
        <f>'Расчет ФОТ'!W21</f>
        <v>0</v>
      </c>
    </row>
    <row r="87" spans="2:9" x14ac:dyDescent="0.15">
      <c r="B87" s="198">
        <f>'Расчет ФОТ'!B22</f>
        <v>0</v>
      </c>
      <c r="C87" s="291">
        <f>'Расчет ФОТ'!C22</f>
        <v>0</v>
      </c>
      <c r="D87" s="291">
        <f>'Расчет ФОТ'!J22</f>
        <v>0</v>
      </c>
      <c r="E87" s="291">
        <f>'Расчет ФОТ'!K22</f>
        <v>0</v>
      </c>
      <c r="F87" s="291">
        <f>'Расчет ФОТ'!L22</f>
        <v>0</v>
      </c>
      <c r="G87" s="291">
        <f>'Расчет ФОТ'!M22</f>
        <v>0</v>
      </c>
      <c r="H87" s="291">
        <f>'Расчет ФОТ'!W22-'Расчет ФОТ'!O22</f>
        <v>0</v>
      </c>
      <c r="I87" s="293">
        <f>'Расчет ФОТ'!W22</f>
        <v>0</v>
      </c>
    </row>
    <row r="88" spans="2:9" x14ac:dyDescent="0.15">
      <c r="B88" s="198">
        <f>'Расчет ФОТ'!B23</f>
        <v>0</v>
      </c>
      <c r="C88" s="291">
        <f>'Расчет ФОТ'!C23</f>
        <v>0</v>
      </c>
      <c r="D88" s="291">
        <f>'Расчет ФОТ'!J23</f>
        <v>0</v>
      </c>
      <c r="E88" s="291">
        <f>'Расчет ФОТ'!K23</f>
        <v>0</v>
      </c>
      <c r="F88" s="291">
        <f>'Расчет ФОТ'!L23</f>
        <v>0</v>
      </c>
      <c r="G88" s="291">
        <f>'Расчет ФОТ'!M23</f>
        <v>0</v>
      </c>
      <c r="H88" s="291">
        <f>'Расчет ФОТ'!W23-'Расчет ФОТ'!O23</f>
        <v>0</v>
      </c>
      <c r="I88" s="293">
        <f>'Расчет ФОТ'!W23</f>
        <v>0</v>
      </c>
    </row>
    <row r="89" spans="2:9" x14ac:dyDescent="0.15">
      <c r="B89" s="198">
        <f>'Расчет ФОТ'!B24</f>
        <v>0</v>
      </c>
      <c r="C89" s="291">
        <f>'Расчет ФОТ'!C24</f>
        <v>0</v>
      </c>
      <c r="D89" s="291">
        <f>'Расчет ФОТ'!J24</f>
        <v>0</v>
      </c>
      <c r="E89" s="291">
        <f>'Расчет ФОТ'!K24</f>
        <v>0</v>
      </c>
      <c r="F89" s="291">
        <f>'Расчет ФОТ'!L24</f>
        <v>0</v>
      </c>
      <c r="G89" s="291">
        <f>'Расчет ФОТ'!M24</f>
        <v>0</v>
      </c>
      <c r="H89" s="291">
        <f>'Расчет ФОТ'!W24-'Расчет ФОТ'!O24</f>
        <v>0</v>
      </c>
      <c r="I89" s="293">
        <f>'Расчет ФОТ'!W24</f>
        <v>0</v>
      </c>
    </row>
    <row r="90" spans="2:9" x14ac:dyDescent="0.15">
      <c r="B90" s="198">
        <f>'Расчет ФОТ'!B25</f>
        <v>0</v>
      </c>
      <c r="C90" s="291">
        <f>'Расчет ФОТ'!C25</f>
        <v>0</v>
      </c>
      <c r="D90" s="291">
        <f>'Расчет ФОТ'!J25</f>
        <v>0</v>
      </c>
      <c r="E90" s="291">
        <f>'Расчет ФОТ'!K25</f>
        <v>0</v>
      </c>
      <c r="F90" s="291">
        <f>'Расчет ФОТ'!L25</f>
        <v>0</v>
      </c>
      <c r="G90" s="291">
        <f>'Расчет ФОТ'!M25</f>
        <v>0</v>
      </c>
      <c r="H90" s="291">
        <f>'Расчет ФОТ'!W25-'Расчет ФОТ'!O25</f>
        <v>0</v>
      </c>
      <c r="I90" s="293">
        <f>'Расчет ФОТ'!W25</f>
        <v>0</v>
      </c>
    </row>
    <row r="91" spans="2:9" x14ac:dyDescent="0.15">
      <c r="B91" s="198">
        <f>'Расчет ФОТ'!B26</f>
        <v>0</v>
      </c>
      <c r="C91" s="291">
        <f>'Расчет ФОТ'!C26</f>
        <v>0</v>
      </c>
      <c r="D91" s="291">
        <f>'Расчет ФОТ'!J26</f>
        <v>0</v>
      </c>
      <c r="E91" s="291">
        <f>'Расчет ФОТ'!K26</f>
        <v>0</v>
      </c>
      <c r="F91" s="291">
        <f>'Расчет ФОТ'!L26</f>
        <v>0</v>
      </c>
      <c r="G91" s="291">
        <f>'Расчет ФОТ'!M26</f>
        <v>0</v>
      </c>
      <c r="H91" s="291">
        <f>'Расчет ФОТ'!W26-'Расчет ФОТ'!O26</f>
        <v>0</v>
      </c>
      <c r="I91" s="293">
        <f>'Расчет ФОТ'!W26</f>
        <v>0</v>
      </c>
    </row>
    <row r="92" spans="2:9" x14ac:dyDescent="0.15">
      <c r="B92" s="198">
        <f>'Расчет ФОТ'!B27</f>
        <v>0</v>
      </c>
      <c r="C92" s="291">
        <f>'Расчет ФОТ'!C27</f>
        <v>0</v>
      </c>
      <c r="D92" s="291">
        <f>'Расчет ФОТ'!J27</f>
        <v>0</v>
      </c>
      <c r="E92" s="291">
        <f>'Расчет ФОТ'!K27</f>
        <v>0</v>
      </c>
      <c r="F92" s="291">
        <f>'Расчет ФОТ'!L27</f>
        <v>0</v>
      </c>
      <c r="G92" s="291">
        <f>'Расчет ФОТ'!M27</f>
        <v>0</v>
      </c>
      <c r="H92" s="291">
        <f>'Расчет ФОТ'!W27-'Расчет ФОТ'!O27</f>
        <v>0</v>
      </c>
      <c r="I92" s="293">
        <f>'Расчет ФОТ'!W27</f>
        <v>0</v>
      </c>
    </row>
    <row r="93" spans="2:9" x14ac:dyDescent="0.15">
      <c r="B93" s="198">
        <f>'Расчет ФОТ'!B28</f>
        <v>0</v>
      </c>
      <c r="C93" s="291">
        <f>'Расчет ФОТ'!C28</f>
        <v>0</v>
      </c>
      <c r="D93" s="291">
        <f>'Расчет ФОТ'!J28</f>
        <v>0</v>
      </c>
      <c r="E93" s="291">
        <f>'Расчет ФОТ'!K28</f>
        <v>0</v>
      </c>
      <c r="F93" s="291">
        <f>'Расчет ФОТ'!L28</f>
        <v>0</v>
      </c>
      <c r="G93" s="291">
        <f>'Расчет ФОТ'!M28</f>
        <v>0</v>
      </c>
      <c r="H93" s="291">
        <f>'Расчет ФОТ'!W28-'Расчет ФОТ'!O28</f>
        <v>0</v>
      </c>
      <c r="I93" s="293">
        <f>'Расчет ФОТ'!W28</f>
        <v>0</v>
      </c>
    </row>
    <row r="94" spans="2:9" x14ac:dyDescent="0.15">
      <c r="B94" s="198">
        <f>'Расчет ФОТ'!B29</f>
        <v>0</v>
      </c>
      <c r="C94" s="291">
        <f>'Расчет ФОТ'!C29</f>
        <v>0</v>
      </c>
      <c r="D94" s="291">
        <f>'Расчет ФОТ'!J29</f>
        <v>0</v>
      </c>
      <c r="E94" s="291">
        <f>'Расчет ФОТ'!K29</f>
        <v>0</v>
      </c>
      <c r="F94" s="291">
        <f>'Расчет ФОТ'!L29</f>
        <v>0</v>
      </c>
      <c r="G94" s="291">
        <f>'Расчет ФОТ'!M29</f>
        <v>0</v>
      </c>
      <c r="H94" s="291">
        <f>'Расчет ФОТ'!W29-'Расчет ФОТ'!O29</f>
        <v>0</v>
      </c>
      <c r="I94" s="293">
        <f>'Расчет ФОТ'!W29</f>
        <v>0</v>
      </c>
    </row>
    <row r="95" spans="2:9" x14ac:dyDescent="0.15">
      <c r="B95" s="198">
        <f>'Расчет ФОТ'!B30</f>
        <v>0</v>
      </c>
      <c r="C95" s="291">
        <f>'Расчет ФОТ'!C30</f>
        <v>0</v>
      </c>
      <c r="D95" s="291">
        <f>'Расчет ФОТ'!J30</f>
        <v>0</v>
      </c>
      <c r="E95" s="291">
        <f>'Расчет ФОТ'!K30</f>
        <v>0</v>
      </c>
      <c r="F95" s="291">
        <f>'Расчет ФОТ'!L30</f>
        <v>0</v>
      </c>
      <c r="G95" s="291">
        <f>'Расчет ФОТ'!M30</f>
        <v>0</v>
      </c>
      <c r="H95" s="291">
        <f>'Расчет ФОТ'!W30-'Расчет ФОТ'!O30</f>
        <v>0</v>
      </c>
      <c r="I95" s="293">
        <f>'Расчет ФОТ'!W30</f>
        <v>0</v>
      </c>
    </row>
    <row r="96" spans="2:9" x14ac:dyDescent="0.15">
      <c r="B96" s="198">
        <f>'Расчет ФОТ'!B31</f>
        <v>0</v>
      </c>
      <c r="C96" s="291">
        <f>'Расчет ФОТ'!C31</f>
        <v>0</v>
      </c>
      <c r="D96" s="291">
        <f>'Расчет ФОТ'!J31</f>
        <v>0</v>
      </c>
      <c r="E96" s="291">
        <f>'Расчет ФОТ'!K31</f>
        <v>0</v>
      </c>
      <c r="F96" s="291">
        <f>'Расчет ФОТ'!L31</f>
        <v>0</v>
      </c>
      <c r="G96" s="291">
        <f>'Расчет ФОТ'!M31</f>
        <v>0</v>
      </c>
      <c r="H96" s="291">
        <f>'Расчет ФОТ'!W31-'Расчет ФОТ'!O31</f>
        <v>0</v>
      </c>
      <c r="I96" s="293">
        <f>'Расчет ФОТ'!W31</f>
        <v>0</v>
      </c>
    </row>
    <row r="97" spans="2:9" x14ac:dyDescent="0.15">
      <c r="B97" s="198">
        <f>'Расчет ФОТ'!B32</f>
        <v>0</v>
      </c>
      <c r="C97" s="291">
        <f>'Расчет ФОТ'!C32</f>
        <v>0</v>
      </c>
      <c r="D97" s="291">
        <f>'Расчет ФОТ'!J32</f>
        <v>0</v>
      </c>
      <c r="E97" s="291">
        <f>'Расчет ФОТ'!K32</f>
        <v>0</v>
      </c>
      <c r="F97" s="291">
        <f>'Расчет ФОТ'!L32</f>
        <v>0</v>
      </c>
      <c r="G97" s="291">
        <f>'Расчет ФОТ'!M32</f>
        <v>0</v>
      </c>
      <c r="H97" s="291">
        <f>'Расчет ФОТ'!W32-'Расчет ФОТ'!O32</f>
        <v>0</v>
      </c>
      <c r="I97" s="293">
        <f>'Расчет ФОТ'!W32</f>
        <v>0</v>
      </c>
    </row>
    <row r="98" spans="2:9" x14ac:dyDescent="0.15">
      <c r="B98" s="198">
        <f>'Расчет ФОТ'!B33</f>
        <v>0</v>
      </c>
      <c r="C98" s="291">
        <f>'Расчет ФОТ'!C33</f>
        <v>0</v>
      </c>
      <c r="D98" s="291">
        <f>'Расчет ФОТ'!J33</f>
        <v>0</v>
      </c>
      <c r="E98" s="291">
        <f>'Расчет ФОТ'!K33</f>
        <v>0</v>
      </c>
      <c r="F98" s="291">
        <f>'Расчет ФОТ'!L33</f>
        <v>0</v>
      </c>
      <c r="G98" s="291">
        <f>'Расчет ФОТ'!M33</f>
        <v>0</v>
      </c>
      <c r="H98" s="291">
        <f>'Расчет ФОТ'!W33-'Расчет ФОТ'!O33</f>
        <v>0</v>
      </c>
      <c r="I98" s="293">
        <f>'Расчет ФОТ'!W33</f>
        <v>0</v>
      </c>
    </row>
    <row r="99" spans="2:9" x14ac:dyDescent="0.15">
      <c r="B99" s="198">
        <f>'Расчет ФОТ'!B34</f>
        <v>0</v>
      </c>
      <c r="C99" s="291">
        <f>'Расчет ФОТ'!C34</f>
        <v>0</v>
      </c>
      <c r="D99" s="291">
        <f>'Расчет ФОТ'!J34</f>
        <v>0</v>
      </c>
      <c r="E99" s="291">
        <f>'Расчет ФОТ'!K34</f>
        <v>0</v>
      </c>
      <c r="F99" s="291">
        <f>'Расчет ФОТ'!L34</f>
        <v>0</v>
      </c>
      <c r="G99" s="291">
        <f>'Расчет ФОТ'!M34</f>
        <v>0</v>
      </c>
      <c r="H99" s="291">
        <f>'Расчет ФОТ'!W34-'Расчет ФОТ'!O34</f>
        <v>0</v>
      </c>
      <c r="I99" s="293">
        <f>'Расчет ФОТ'!W34</f>
        <v>0</v>
      </c>
    </row>
    <row r="100" spans="2:9" x14ac:dyDescent="0.15">
      <c r="B100" s="198">
        <f>'Расчет ФОТ'!B35</f>
        <v>0</v>
      </c>
      <c r="C100" s="291">
        <f>'Расчет ФОТ'!C35</f>
        <v>0</v>
      </c>
      <c r="D100" s="291">
        <f>'Расчет ФОТ'!J35</f>
        <v>0</v>
      </c>
      <c r="E100" s="291">
        <f>'Расчет ФОТ'!K35</f>
        <v>0</v>
      </c>
      <c r="F100" s="291">
        <f>'Расчет ФОТ'!L35</f>
        <v>0</v>
      </c>
      <c r="G100" s="291">
        <f>'Расчет ФОТ'!M35</f>
        <v>0</v>
      </c>
      <c r="H100" s="291">
        <f>'Расчет ФОТ'!W35-'Расчет ФОТ'!O35</f>
        <v>0</v>
      </c>
      <c r="I100" s="293">
        <f>'Расчет ФОТ'!W35</f>
        <v>0</v>
      </c>
    </row>
    <row r="101" spans="2:9" x14ac:dyDescent="0.15">
      <c r="B101" s="198">
        <f>'Расчет ФОТ'!B36</f>
        <v>0</v>
      </c>
      <c r="C101" s="291">
        <f>'Расчет ФОТ'!C36</f>
        <v>0</v>
      </c>
      <c r="D101" s="291">
        <f>'Расчет ФОТ'!J36</f>
        <v>0</v>
      </c>
      <c r="E101" s="291">
        <f>'Расчет ФОТ'!K36</f>
        <v>0</v>
      </c>
      <c r="F101" s="291">
        <f>'Расчет ФОТ'!L36</f>
        <v>0</v>
      </c>
      <c r="G101" s="291">
        <f>'Расчет ФОТ'!M36</f>
        <v>0</v>
      </c>
      <c r="H101" s="291">
        <f>'Расчет ФОТ'!W36-'Расчет ФОТ'!O36</f>
        <v>0</v>
      </c>
      <c r="I101" s="293">
        <f>'Расчет ФОТ'!W36</f>
        <v>0</v>
      </c>
    </row>
    <row r="102" spans="2:9" x14ac:dyDescent="0.15">
      <c r="B102" s="198">
        <f>'Расчет ФОТ'!B37</f>
        <v>0</v>
      </c>
      <c r="C102" s="291">
        <f>'Расчет ФОТ'!C37</f>
        <v>0</v>
      </c>
      <c r="D102" s="291">
        <f>'Расчет ФОТ'!J37</f>
        <v>0</v>
      </c>
      <c r="E102" s="291">
        <f>'Расчет ФОТ'!K37</f>
        <v>0</v>
      </c>
      <c r="F102" s="291">
        <f>'Расчет ФОТ'!L37</f>
        <v>0</v>
      </c>
      <c r="G102" s="291">
        <f>'Расчет ФОТ'!M37</f>
        <v>0</v>
      </c>
      <c r="H102" s="291">
        <f>'Расчет ФОТ'!W37-'Расчет ФОТ'!O37</f>
        <v>0</v>
      </c>
      <c r="I102" s="293">
        <f>'Расчет ФОТ'!W37</f>
        <v>0</v>
      </c>
    </row>
    <row r="103" spans="2:9" x14ac:dyDescent="0.15">
      <c r="B103" s="198">
        <f>'Расчет ФОТ'!B38</f>
        <v>0</v>
      </c>
      <c r="C103" s="291">
        <f>'Расчет ФОТ'!C38</f>
        <v>0</v>
      </c>
      <c r="D103" s="291">
        <f>'Расчет ФОТ'!J38</f>
        <v>0</v>
      </c>
      <c r="E103" s="291">
        <f>'Расчет ФОТ'!K38</f>
        <v>0</v>
      </c>
      <c r="F103" s="291">
        <f>'Расчет ФОТ'!L38</f>
        <v>0</v>
      </c>
      <c r="G103" s="291">
        <f>'Расчет ФОТ'!M38</f>
        <v>0</v>
      </c>
      <c r="H103" s="291">
        <f>'Расчет ФОТ'!W38-'Расчет ФОТ'!O38</f>
        <v>0</v>
      </c>
      <c r="I103" s="293">
        <f>'Расчет ФОТ'!W38</f>
        <v>0</v>
      </c>
    </row>
    <row r="104" spans="2:9" x14ac:dyDescent="0.15">
      <c r="B104" s="198">
        <f>'Расчет ФОТ'!B39</f>
        <v>0</v>
      </c>
      <c r="C104" s="291">
        <f>'Расчет ФОТ'!C39</f>
        <v>0</v>
      </c>
      <c r="D104" s="291">
        <f>'Расчет ФОТ'!J39</f>
        <v>0</v>
      </c>
      <c r="E104" s="291">
        <f>'Расчет ФОТ'!K39</f>
        <v>0</v>
      </c>
      <c r="F104" s="291">
        <f>'Расчет ФОТ'!L39</f>
        <v>0</v>
      </c>
      <c r="G104" s="291">
        <f>'Расчет ФОТ'!M39</f>
        <v>0</v>
      </c>
      <c r="H104" s="291">
        <f>'Расчет ФОТ'!W39-'Расчет ФОТ'!O39</f>
        <v>0</v>
      </c>
      <c r="I104" s="293">
        <f>'Расчет ФОТ'!W39</f>
        <v>0</v>
      </c>
    </row>
    <row r="105" spans="2:9" x14ac:dyDescent="0.15">
      <c r="B105" s="198">
        <f>'Расчет ФОТ'!B40</f>
        <v>0</v>
      </c>
      <c r="C105" s="291">
        <f>'Расчет ФОТ'!C40</f>
        <v>0</v>
      </c>
      <c r="D105" s="291">
        <f>'Расчет ФОТ'!J40</f>
        <v>0</v>
      </c>
      <c r="E105" s="291">
        <f>'Расчет ФОТ'!K40</f>
        <v>0</v>
      </c>
      <c r="F105" s="291">
        <f>'Расчет ФОТ'!L40</f>
        <v>0</v>
      </c>
      <c r="G105" s="291">
        <f>'Расчет ФОТ'!M40</f>
        <v>0</v>
      </c>
      <c r="H105" s="291">
        <f>'Расчет ФОТ'!W40-'Расчет ФОТ'!O40</f>
        <v>0</v>
      </c>
      <c r="I105" s="293">
        <f>'Расчет ФОТ'!W40</f>
        <v>0</v>
      </c>
    </row>
    <row r="106" spans="2:9" x14ac:dyDescent="0.15">
      <c r="B106" s="198">
        <f>'Расчет ФОТ'!B41</f>
        <v>0</v>
      </c>
      <c r="C106" s="291">
        <f>'Расчет ФОТ'!C41</f>
        <v>0</v>
      </c>
      <c r="D106" s="291">
        <f>'Расчет ФОТ'!J41</f>
        <v>0</v>
      </c>
      <c r="E106" s="291">
        <f>'Расчет ФОТ'!K41</f>
        <v>0</v>
      </c>
      <c r="F106" s="291">
        <f>'Расчет ФОТ'!L41</f>
        <v>0</v>
      </c>
      <c r="G106" s="291">
        <f>'Расчет ФОТ'!M41</f>
        <v>0</v>
      </c>
      <c r="H106" s="291">
        <f>'Расчет ФОТ'!W41-'Расчет ФОТ'!O41</f>
        <v>0</v>
      </c>
      <c r="I106" s="293">
        <f>'Расчет ФОТ'!W41</f>
        <v>0</v>
      </c>
    </row>
    <row r="107" spans="2:9" x14ac:dyDescent="0.15">
      <c r="B107" s="198">
        <f>'Расчет ФОТ'!B42</f>
        <v>0</v>
      </c>
      <c r="C107" s="291">
        <f>'Расчет ФОТ'!C42</f>
        <v>0</v>
      </c>
      <c r="D107" s="291">
        <f>'Расчет ФОТ'!J42</f>
        <v>0</v>
      </c>
      <c r="E107" s="291">
        <f>'Расчет ФОТ'!K42</f>
        <v>0</v>
      </c>
      <c r="F107" s="291">
        <f>'Расчет ФОТ'!L42</f>
        <v>0</v>
      </c>
      <c r="G107" s="291">
        <f>'Расчет ФОТ'!M42</f>
        <v>0</v>
      </c>
      <c r="H107" s="291">
        <f>'Расчет ФОТ'!W42-'Расчет ФОТ'!O42</f>
        <v>0</v>
      </c>
      <c r="I107" s="293">
        <f>'Расчет ФОТ'!W42</f>
        <v>0</v>
      </c>
    </row>
    <row r="108" spans="2:9" ht="15" thickBot="1" x14ac:dyDescent="0.2">
      <c r="B108" s="199">
        <f>'Расчет ФОТ'!B43</f>
        <v>0</v>
      </c>
      <c r="C108" s="295">
        <f>'Расчет ФОТ'!C43</f>
        <v>0</v>
      </c>
      <c r="D108" s="295">
        <f>'Расчет ФОТ'!J43</f>
        <v>0</v>
      </c>
      <c r="E108" s="295">
        <f>'Расчет ФОТ'!K43</f>
        <v>0</v>
      </c>
      <c r="F108" s="295">
        <f>'Расчет ФОТ'!L43</f>
        <v>0</v>
      </c>
      <c r="G108" s="295">
        <f>'Расчет ФОТ'!M43</f>
        <v>0</v>
      </c>
      <c r="H108" s="295">
        <f>'Расчет ФОТ'!W43-'Расчет ФОТ'!O43</f>
        <v>0</v>
      </c>
      <c r="I108" s="296">
        <f>'Расчет ФОТ'!W43</f>
        <v>0</v>
      </c>
    </row>
    <row r="109" spans="2:9" x14ac:dyDescent="0.15">
      <c r="B109" s="185"/>
      <c r="C109" s="173"/>
      <c r="D109" s="173"/>
      <c r="E109" s="173"/>
      <c r="H109" s="174"/>
    </row>
    <row r="110" spans="2:9" x14ac:dyDescent="0.15">
      <c r="B110" s="173"/>
      <c r="C110" s="173"/>
      <c r="D110" s="173"/>
      <c r="E110" s="173"/>
    </row>
  </sheetData>
  <sheetProtection algorithmName="SHA-512" hashValue="xH0m5CVkv5XzyKzUD75q2l0XpF3wLbqahHq016DT86/ErIbspjWSLDxarJJY/OrZWrDQrRcG+RM+LT8TAAQ0EQ==" saltValue="Rmo8/AtixLp0ZYxpMyvNLA==" spinCount="100000" sheet="1" objects="1" scenarios="1"/>
  <mergeCells count="13">
    <mergeCell ref="B2:D2"/>
    <mergeCell ref="E2:I2"/>
    <mergeCell ref="B3:D3"/>
    <mergeCell ref="E3:I3"/>
    <mergeCell ref="I72:I73"/>
    <mergeCell ref="B45:D46"/>
    <mergeCell ref="B72:D72"/>
    <mergeCell ref="E72:G72"/>
    <mergeCell ref="B7:B8"/>
    <mergeCell ref="C7:C8"/>
    <mergeCell ref="D7:D8"/>
    <mergeCell ref="E7:F7"/>
    <mergeCell ref="H72:H73"/>
  </mergeCells>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Листы</vt:lpstr>
      </vt:variant>
      <vt:variant>
        <vt:i4>6</vt:i4>
      </vt:variant>
      <vt:variant>
        <vt:lpstr>Именованные диапазоны</vt:lpstr>
      </vt:variant>
      <vt:variant>
        <vt:i4>2</vt:i4>
      </vt:variant>
    </vt:vector>
  </HeadingPairs>
  <TitlesOfParts>
    <vt:vector size="8" baseType="lpstr">
      <vt:lpstr>Правила и справки</vt:lpstr>
      <vt:lpstr>ЗП по стандарту АКФО</vt:lpstr>
      <vt:lpstr>Калькуляция</vt:lpstr>
      <vt:lpstr>Расчет ФОТ</vt:lpstr>
      <vt:lpstr>Тарификатор</vt:lpstr>
      <vt:lpstr>Приложение к договору</vt:lpstr>
      <vt:lpstr>Калькуляция!Область_печати</vt:lpstr>
      <vt:lpstr>Калькуляция!сумм_аммортиз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2024-10-21T09:22:41Z</dcterms:modified>
</cp:coreProperties>
</file>